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trlProps/ctrlProp5.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trlProps/ctrlProp6.xml" ContentType="application/vnd.ms-excel.controlpropertie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E1F9A889-C132-4405-BA8B-9C69A3CE4595}" xr6:coauthVersionLast="47" xr6:coauthVersionMax="47" xr10:uidLastSave="{00000000-0000-0000-0000-000000000000}"/>
  <bookViews>
    <workbookView showSheetTabs="0" xWindow="-108" yWindow="-108" windowWidth="23256" windowHeight="12456" tabRatio="666" activeTab="11" xr2:uid="{00000000-000D-0000-FFFF-FFFF00000000}"/>
  </bookViews>
  <sheets>
    <sheet name="Home" sheetId="17" r:id="rId1"/>
    <sheet name="1" sheetId="13" r:id="rId2"/>
    <sheet name="2" sheetId="11" r:id="rId3"/>
    <sheet name="calc" sheetId="15" state="veryHidden" r:id="rId4"/>
    <sheet name="Home FR" sheetId="18" r:id="rId5"/>
    <sheet name="1FR" sheetId="22" r:id="rId6"/>
    <sheet name="2FR" sheetId="23" r:id="rId7"/>
    <sheet name="calcFR" sheetId="24" state="veryHidden" r:id="rId8"/>
    <sheet name="Home B" sheetId="19" r:id="rId9"/>
    <sheet name="1B" sheetId="25" r:id="rId10"/>
    <sheet name="calcB" sheetId="26" state="veryHidden" r:id="rId11"/>
    <sheet name="Home FR B" sheetId="20" r:id="rId12"/>
    <sheet name="1FRB" sheetId="27" r:id="rId13"/>
    <sheet name="calcFRB" sheetId="28" state="veryHidden" r:id="rId14"/>
    <sheet name="EDISEC" sheetId="21" r:id="rId15"/>
  </sheets>
  <definedNames>
    <definedName name="DTM">Home!$D$2</definedName>
    <definedName name="OODFR">EDISEC!$B$56</definedName>
    <definedName name="OODNL">EDISEC!$B$55</definedName>
    <definedName name="_xlnm.Print_Area" localSheetId="1">'1'!$B$2:$I$43</definedName>
    <definedName name="_xlnm.Print_Area" localSheetId="9">'1B'!$A$1:$G$40</definedName>
    <definedName name="_xlnm.Print_Area" localSheetId="5">'1FR'!$B$2:$I$43</definedName>
    <definedName name="_xlnm.Print_Area" localSheetId="12">'1FRB'!$A$1:$G$40</definedName>
    <definedName name="_xlnm.Print_Area" localSheetId="2">'2'!$A$1:$G$40</definedName>
    <definedName name="_xlnm.Print_Area" localSheetId="6">'2FR'!$A$1:$G$40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1" l="1"/>
  <c r="E23" i="28" l="1" a="1"/>
  <c r="E23" i="28" s="1"/>
  <c r="B39" i="22"/>
  <c r="K16" i="15"/>
  <c r="J16" i="15"/>
  <c r="U24" i="15"/>
  <c r="E4" i="28"/>
  <c r="S27" i="28" s="1"/>
  <c r="E4" i="26"/>
  <c r="S26" i="26" s="1"/>
  <c r="E4" i="24"/>
  <c r="S26" i="24" s="1"/>
  <c r="S24" i="28" l="1"/>
  <c r="S25" i="28"/>
  <c r="S26" i="28"/>
  <c r="S24" i="26"/>
  <c r="S25" i="26"/>
  <c r="S27" i="26"/>
  <c r="S24" i="24"/>
  <c r="S25" i="24"/>
  <c r="S27" i="24"/>
  <c r="E4" i="15"/>
  <c r="E23" i="15" a="1"/>
  <c r="E23" i="15" s="1"/>
  <c r="S25" i="15" l="1"/>
  <c r="S26" i="15"/>
  <c r="S27" i="15"/>
  <c r="S24" i="15"/>
  <c r="B55" i="21"/>
  <c r="B56" i="21"/>
  <c r="A1" i="28" l="1" a="1"/>
  <c r="A1" i="28" s="1"/>
  <c r="A1" i="26"/>
  <c r="U24" i="28"/>
  <c r="U23" i="28" s="1" a="1"/>
  <c r="U23" i="28" s="1"/>
  <c r="N23" i="28" a="1"/>
  <c r="N23" i="28" s="1"/>
  <c r="M23" i="28" a="1"/>
  <c r="M23" i="28" s="1"/>
  <c r="L23" i="28" a="1"/>
  <c r="L23" i="28" s="1"/>
  <c r="K23" i="28" a="1"/>
  <c r="K23" i="28" s="1"/>
  <c r="J23" i="28" a="1"/>
  <c r="J23" i="28" s="1"/>
  <c r="I23" i="28" a="1"/>
  <c r="I23" i="28" s="1"/>
  <c r="H23" i="28" a="1"/>
  <c r="H23" i="28" s="1"/>
  <c r="G23" i="28" a="1"/>
  <c r="G23" i="28" s="1"/>
  <c r="F23" i="28" a="1"/>
  <c r="F23" i="28" s="1"/>
  <c r="E7" i="28"/>
  <c r="E6" i="28"/>
  <c r="Q24" i="28" s="1"/>
  <c r="N23" i="15" a="1"/>
  <c r="N23" i="15" s="1"/>
  <c r="B2" i="21" a="1"/>
  <c r="B2" i="21" s="1"/>
  <c r="G36" i="27" l="1"/>
  <c r="E3" i="28"/>
  <c r="P24" i="28"/>
  <c r="P23" i="28" s="1" a="1"/>
  <c r="P23" i="28" s="1"/>
  <c r="G17" i="27" s="1"/>
  <c r="G18" i="27" s="1"/>
  <c r="G19" i="27" s="1"/>
  <c r="H3" i="28" l="1"/>
  <c r="G3" i="28"/>
  <c r="Q23" i="28" a="1"/>
  <c r="Q23" i="28" s="1"/>
  <c r="E8" i="28" l="1"/>
  <c r="E34" i="28" s="1"/>
  <c r="E41" i="28"/>
  <c r="E40" i="28"/>
  <c r="F34" i="28"/>
  <c r="F32" i="28"/>
  <c r="F37" i="28"/>
  <c r="E31" i="28"/>
  <c r="F36" i="28"/>
  <c r="E36" i="28"/>
  <c r="F33" i="28"/>
  <c r="T24" i="28"/>
  <c r="T23" i="28" s="1" a="1"/>
  <c r="T23" i="28" s="1"/>
  <c r="F39" i="28"/>
  <c r="E35" i="28"/>
  <c r="E33" i="28"/>
  <c r="E42" i="28"/>
  <c r="F31" i="28"/>
  <c r="E37" i="28"/>
  <c r="E32" i="28"/>
  <c r="F35" i="28"/>
  <c r="E39" i="28"/>
  <c r="F38" i="28"/>
  <c r="F40" i="28"/>
  <c r="G7" i="28"/>
  <c r="G5" i="28"/>
  <c r="G6" i="28"/>
  <c r="S23" i="28" a="1"/>
  <c r="S23" i="28" s="1"/>
  <c r="F42" i="28" l="1"/>
  <c r="F41" i="28"/>
  <c r="E38" i="28"/>
  <c r="E5" i="28"/>
  <c r="R24" i="28" s="1"/>
  <c r="X24" i="28" s="1"/>
  <c r="G35" i="28"/>
  <c r="G31" i="28"/>
  <c r="G34" i="28"/>
  <c r="G41" i="28"/>
  <c r="R23" i="28" a="1"/>
  <c r="R23" i="28" s="1"/>
  <c r="I40" i="28" s="1"/>
  <c r="AB24" i="28"/>
  <c r="Y24" i="28"/>
  <c r="G32" i="28"/>
  <c r="G37" i="28"/>
  <c r="G40" i="28"/>
  <c r="G38" i="28"/>
  <c r="G39" i="28"/>
  <c r="G33" i="28"/>
  <c r="V24" i="28"/>
  <c r="G36" i="28"/>
  <c r="G42" i="28"/>
  <c r="W24" i="28" l="1"/>
  <c r="I37" i="28"/>
  <c r="I32" i="28"/>
  <c r="I33" i="28"/>
  <c r="I39" i="28"/>
  <c r="Z24" i="28"/>
  <c r="Z23" i="28" s="1" a="1"/>
  <c r="Z23" i="28" s="1"/>
  <c r="J31" i="28" s="1"/>
  <c r="Y23" i="28" a="1"/>
  <c r="Y23" i="28" s="1"/>
  <c r="AB23" i="28" a="1"/>
  <c r="AB23" i="28" s="1"/>
  <c r="AC24" i="28"/>
  <c r="AC23" i="28" s="1" a="1"/>
  <c r="AC23" i="28" s="1"/>
  <c r="K31" i="28" s="1"/>
  <c r="K32" i="28" s="1"/>
  <c r="K33" i="28" s="1"/>
  <c r="K34" i="28" s="1"/>
  <c r="K35" i="28" s="1"/>
  <c r="K36" i="28" s="1"/>
  <c r="K37" i="28" s="1"/>
  <c r="K38" i="28" s="1"/>
  <c r="K39" i="28" s="1"/>
  <c r="K40" i="28" s="1"/>
  <c r="K41" i="28" s="1"/>
  <c r="K42" i="28" s="1"/>
  <c r="W23" i="28" a="1"/>
  <c r="W23" i="28" s="1"/>
  <c r="C32" i="27"/>
  <c r="C24" i="27"/>
  <c r="I41" i="28"/>
  <c r="C25" i="27"/>
  <c r="I42" i="28"/>
  <c r="C29" i="27"/>
  <c r="I34" i="28"/>
  <c r="C30" i="27"/>
  <c r="C33" i="27"/>
  <c r="I38" i="28"/>
  <c r="C22" i="27"/>
  <c r="G43" i="28"/>
  <c r="C31" i="27"/>
  <c r="I36" i="28"/>
  <c r="C26" i="27"/>
  <c r="C23" i="27"/>
  <c r="H36" i="28"/>
  <c r="H33" i="28"/>
  <c r="H39" i="28"/>
  <c r="H40" i="28"/>
  <c r="H37" i="28"/>
  <c r="H34" i="28"/>
  <c r="H31" i="28"/>
  <c r="H41" i="28"/>
  <c r="H38" i="28"/>
  <c r="H35" i="28"/>
  <c r="H32" i="28"/>
  <c r="H42" i="28"/>
  <c r="I31" i="28"/>
  <c r="C27" i="27"/>
  <c r="I35" i="28"/>
  <c r="X23" i="28" a="1"/>
  <c r="X23" i="28" s="1"/>
  <c r="V23" i="28" a="1"/>
  <c r="V23" i="28" s="1"/>
  <c r="O24" i="28"/>
  <c r="O23" i="28" s="1" a="1"/>
  <c r="O23" i="28" s="1"/>
  <c r="C28" i="27"/>
  <c r="AA24" i="28" l="1"/>
  <c r="AA23" i="28" s="1" a="1"/>
  <c r="AA23" i="28" s="1"/>
  <c r="L35" i="28"/>
  <c r="N35" i="28" s="1"/>
  <c r="F26" i="27" s="1"/>
  <c r="L34" i="28"/>
  <c r="N34" i="28" s="1"/>
  <c r="F25" i="27" s="1"/>
  <c r="L36" i="28"/>
  <c r="N36" i="28" s="1"/>
  <c r="F27" i="27" s="1"/>
  <c r="L32" i="28"/>
  <c r="N32" i="28" s="1"/>
  <c r="F23" i="27" s="1"/>
  <c r="L39" i="28"/>
  <c r="N39" i="28" s="1"/>
  <c r="F30" i="27" s="1"/>
  <c r="L37" i="28"/>
  <c r="N37" i="28" s="1"/>
  <c r="F28" i="27" s="1"/>
  <c r="L38" i="28"/>
  <c r="N38" i="28" s="1"/>
  <c r="F29" i="27" s="1"/>
  <c r="AD24" i="28"/>
  <c r="I43" i="28"/>
  <c r="L40" i="28"/>
  <c r="N40" i="28" s="1"/>
  <c r="F31" i="27" s="1"/>
  <c r="L33" i="28"/>
  <c r="N33" i="28" s="1"/>
  <c r="F24" i="27" s="1"/>
  <c r="C34" i="27"/>
  <c r="L41" i="28"/>
  <c r="N41" i="28" s="1"/>
  <c r="F32" i="27" s="1"/>
  <c r="H43" i="28"/>
  <c r="L31" i="28"/>
  <c r="L42" i="28"/>
  <c r="N42" i="28" s="1"/>
  <c r="F33" i="27" s="1"/>
  <c r="M31" i="28"/>
  <c r="D22" i="27" s="1"/>
  <c r="J32" i="28"/>
  <c r="U24" i="26"/>
  <c r="U23" i="26" s="1" a="1"/>
  <c r="U23" i="26" s="1"/>
  <c r="N23" i="26" a="1"/>
  <c r="N23" i="26" s="1"/>
  <c r="M23" i="26" a="1"/>
  <c r="M23" i="26" s="1"/>
  <c r="L23" i="26" a="1"/>
  <c r="L23" i="26" s="1"/>
  <c r="K23" i="26" a="1"/>
  <c r="K23" i="26" s="1"/>
  <c r="J23" i="26" a="1"/>
  <c r="J23" i="26" s="1"/>
  <c r="I23" i="26" a="1"/>
  <c r="I23" i="26" s="1"/>
  <c r="H23" i="26" a="1"/>
  <c r="H23" i="26" s="1"/>
  <c r="G23" i="26" a="1"/>
  <c r="G23" i="26" s="1"/>
  <c r="F23" i="26" a="1"/>
  <c r="F23" i="26" s="1"/>
  <c r="E23" i="26" a="1"/>
  <c r="E23" i="26" s="1"/>
  <c r="E3" i="26" s="1"/>
  <c r="G3" i="26" s="1"/>
  <c r="E7" i="26"/>
  <c r="E6" i="26"/>
  <c r="O32" i="28" l="1"/>
  <c r="G23" i="27" s="1"/>
  <c r="E23" i="27" s="1"/>
  <c r="G6" i="26"/>
  <c r="G7" i="26"/>
  <c r="AD23" i="28" a="1"/>
  <c r="AD23" i="28" s="1"/>
  <c r="D24" i="28"/>
  <c r="D23" i="28" s="1" a="1"/>
  <c r="D23" i="28" s="1"/>
  <c r="M32" i="28"/>
  <c r="D23" i="27" s="1"/>
  <c r="J33" i="28"/>
  <c r="N31" i="28"/>
  <c r="L43" i="28"/>
  <c r="H3" i="26"/>
  <c r="E8" i="26" s="1"/>
  <c r="G36" i="25"/>
  <c r="P24" i="26"/>
  <c r="P23" i="26" s="1" a="1"/>
  <c r="P23" i="26" s="1"/>
  <c r="G17" i="25" s="1"/>
  <c r="G18" i="25" s="1"/>
  <c r="G19" i="25" s="1"/>
  <c r="Q24" i="26"/>
  <c r="G5" i="26"/>
  <c r="E23" i="24" a="1"/>
  <c r="E23" i="24" s="1"/>
  <c r="U27" i="24"/>
  <c r="U26" i="24"/>
  <c r="U25" i="24"/>
  <c r="U24" i="24"/>
  <c r="U23" i="24" s="1" a="1"/>
  <c r="U23" i="24" s="1"/>
  <c r="N23" i="24" a="1"/>
  <c r="N23" i="24" s="1"/>
  <c r="M23" i="24" a="1"/>
  <c r="M23" i="24" s="1"/>
  <c r="L23" i="24" a="1"/>
  <c r="L23" i="24" s="1"/>
  <c r="K23" i="24" a="1"/>
  <c r="K23" i="24" s="1"/>
  <c r="J23" i="24" a="1"/>
  <c r="J23" i="24" s="1"/>
  <c r="I23" i="24" a="1"/>
  <c r="I23" i="24" s="1"/>
  <c r="H23" i="24" a="1"/>
  <c r="H23" i="24" s="1"/>
  <c r="G23" i="24" a="1"/>
  <c r="G23" i="24" s="1"/>
  <c r="F23" i="24" a="1"/>
  <c r="F23" i="24" s="1"/>
  <c r="E7" i="24"/>
  <c r="E6" i="24"/>
  <c r="F17" i="22"/>
  <c r="F18" i="22" s="1"/>
  <c r="F19" i="22" s="1"/>
  <c r="Q27" i="24" l="1"/>
  <c r="F22" i="27"/>
  <c r="F34" i="27" s="1"/>
  <c r="N43" i="28"/>
  <c r="O31" i="28"/>
  <c r="J34" i="28"/>
  <c r="M33" i="28"/>
  <c r="D24" i="27" s="1"/>
  <c r="O33" i="28"/>
  <c r="G24" i="27" s="1"/>
  <c r="E24" i="27" s="1"/>
  <c r="E5" i="26"/>
  <c r="Q23" i="26" a="1"/>
  <c r="Q23" i="26" s="1"/>
  <c r="Q24" i="24"/>
  <c r="Q23" i="24" s="1" a="1"/>
  <c r="Q23" i="24" s="1"/>
  <c r="P25" i="24"/>
  <c r="E3" i="24"/>
  <c r="G36" i="23"/>
  <c r="P24" i="24"/>
  <c r="P23" i="24" s="1" a="1"/>
  <c r="P23" i="24" s="1"/>
  <c r="G17" i="23" s="1"/>
  <c r="G18" i="23" s="1"/>
  <c r="G19" i="23" s="1"/>
  <c r="Q25" i="24"/>
  <c r="P26" i="24"/>
  <c r="Q26" i="24"/>
  <c r="P27" i="24"/>
  <c r="H3" i="24" l="1"/>
  <c r="E8" i="24" s="1"/>
  <c r="T26" i="24" s="1"/>
  <c r="G3" i="24"/>
  <c r="T24" i="26"/>
  <c r="T23" i="26" s="1" a="1"/>
  <c r="T23" i="26" s="1"/>
  <c r="E33" i="26"/>
  <c r="F33" i="26"/>
  <c r="E40" i="26"/>
  <c r="E34" i="26"/>
  <c r="F40" i="26"/>
  <c r="F31" i="26"/>
  <c r="E41" i="26"/>
  <c r="F35" i="26"/>
  <c r="E31" i="26"/>
  <c r="E35" i="26"/>
  <c r="F41" i="26"/>
  <c r="F32" i="26"/>
  <c r="F39" i="26"/>
  <c r="E39" i="26"/>
  <c r="E42" i="26"/>
  <c r="E32" i="26"/>
  <c r="F38" i="26"/>
  <c r="E36" i="26"/>
  <c r="F36" i="26"/>
  <c r="F37" i="26"/>
  <c r="E38" i="26"/>
  <c r="F42" i="26"/>
  <c r="E37" i="26"/>
  <c r="F34" i="26"/>
  <c r="G22" i="27"/>
  <c r="M34" i="28"/>
  <c r="D25" i="27" s="1"/>
  <c r="J35" i="28"/>
  <c r="O34" i="28"/>
  <c r="G25" i="27" s="1"/>
  <c r="E25" i="27" s="1"/>
  <c r="R24" i="26"/>
  <c r="G6" i="24" l="1"/>
  <c r="G5" i="24"/>
  <c r="G7" i="24"/>
  <c r="T25" i="24"/>
  <c r="T24" i="24"/>
  <c r="T23" i="24" s="1" a="1"/>
  <c r="T23" i="24" s="1"/>
  <c r="T27" i="24"/>
  <c r="V27" i="24" s="1"/>
  <c r="O27" i="24" s="1"/>
  <c r="E38" i="24"/>
  <c r="F35" i="24"/>
  <c r="F34" i="24"/>
  <c r="F42" i="24"/>
  <c r="E39" i="24"/>
  <c r="E40" i="24"/>
  <c r="E32" i="24"/>
  <c r="F31" i="24"/>
  <c r="F38" i="24"/>
  <c r="F39" i="24"/>
  <c r="F36" i="24"/>
  <c r="E36" i="24"/>
  <c r="F41" i="24"/>
  <c r="F32" i="24"/>
  <c r="F37" i="24"/>
  <c r="E42" i="24"/>
  <c r="E35" i="24"/>
  <c r="F33" i="24"/>
  <c r="E37" i="24"/>
  <c r="E33" i="24"/>
  <c r="E34" i="24"/>
  <c r="E41" i="24"/>
  <c r="F40" i="24"/>
  <c r="E31" i="24"/>
  <c r="E22" i="27"/>
  <c r="M35" i="28"/>
  <c r="D26" i="27" s="1"/>
  <c r="J36" i="28"/>
  <c r="O35" i="28"/>
  <c r="G26" i="27" s="1"/>
  <c r="E26" i="27" s="1"/>
  <c r="G35" i="26"/>
  <c r="G31" i="26"/>
  <c r="G37" i="26"/>
  <c r="G41" i="26"/>
  <c r="G40" i="26"/>
  <c r="G38" i="26"/>
  <c r="G34" i="26"/>
  <c r="G33" i="26"/>
  <c r="G36" i="26"/>
  <c r="S23" i="26" a="1"/>
  <c r="S23" i="26" s="1"/>
  <c r="V24" i="26"/>
  <c r="W24" i="26" s="1"/>
  <c r="R23" i="26" a="1"/>
  <c r="R23" i="26" s="1"/>
  <c r="I37" i="26" s="1"/>
  <c r="Y24" i="26"/>
  <c r="X24" i="26"/>
  <c r="AB24" i="26"/>
  <c r="G39" i="26"/>
  <c r="G32" i="26"/>
  <c r="G42" i="26"/>
  <c r="V26" i="24"/>
  <c r="O26" i="24" s="1"/>
  <c r="V25" i="24"/>
  <c r="O25" i="24" s="1"/>
  <c r="E5" i="24" l="1"/>
  <c r="J37" i="28"/>
  <c r="M36" i="28"/>
  <c r="D27" i="27" s="1"/>
  <c r="O36" i="28"/>
  <c r="G27" i="27" s="1"/>
  <c r="E27" i="27" s="1"/>
  <c r="I38" i="26"/>
  <c r="C25" i="25"/>
  <c r="C27" i="25"/>
  <c r="I34" i="26"/>
  <c r="I36" i="26"/>
  <c r="C28" i="25"/>
  <c r="Z24" i="26"/>
  <c r="Z23" i="26" s="1" a="1"/>
  <c r="Z23" i="26" s="1"/>
  <c r="J31" i="26" s="1"/>
  <c r="Y23" i="26" a="1"/>
  <c r="Y23" i="26" s="1"/>
  <c r="C31" i="25"/>
  <c r="H36" i="26"/>
  <c r="H33" i="26"/>
  <c r="H40" i="26"/>
  <c r="H37" i="26"/>
  <c r="H34" i="26"/>
  <c r="H42" i="26"/>
  <c r="H31" i="26"/>
  <c r="H41" i="26"/>
  <c r="H38" i="26"/>
  <c r="H35" i="26"/>
  <c r="H32" i="26"/>
  <c r="H39" i="26"/>
  <c r="I40" i="26"/>
  <c r="C24" i="25"/>
  <c r="C22" i="25"/>
  <c r="G43" i="26"/>
  <c r="C30" i="25"/>
  <c r="C23" i="25"/>
  <c r="I33" i="26"/>
  <c r="I31" i="26"/>
  <c r="X23" i="26" a="1"/>
  <c r="X23" i="26" s="1"/>
  <c r="W23" i="26" a="1"/>
  <c r="W23" i="26" s="1"/>
  <c r="C32" i="25"/>
  <c r="C33" i="25"/>
  <c r="C26" i="25"/>
  <c r="AC24" i="26"/>
  <c r="AC23" i="26" s="1" a="1"/>
  <c r="AC23" i="26" s="1"/>
  <c r="K31" i="26" s="1"/>
  <c r="K32" i="26" s="1"/>
  <c r="K33" i="26" s="1"/>
  <c r="K34" i="26" s="1"/>
  <c r="K35" i="26" s="1"/>
  <c r="K36" i="26" s="1"/>
  <c r="K37" i="26" s="1"/>
  <c r="K38" i="26" s="1"/>
  <c r="K39" i="26" s="1"/>
  <c r="K40" i="26" s="1"/>
  <c r="K41" i="26" s="1"/>
  <c r="K42" i="26" s="1"/>
  <c r="AB23" i="26" a="1"/>
  <c r="AB23" i="26" s="1"/>
  <c r="C29" i="25"/>
  <c r="V23" i="26" a="1"/>
  <c r="V23" i="26" s="1"/>
  <c r="O24" i="26"/>
  <c r="O23" i="26" s="1" a="1"/>
  <c r="O23" i="26" s="1"/>
  <c r="I42" i="26"/>
  <c r="I41" i="26"/>
  <c r="I32" i="26"/>
  <c r="I39" i="26"/>
  <c r="I35" i="26"/>
  <c r="G31" i="24"/>
  <c r="G36" i="24"/>
  <c r="G33" i="24"/>
  <c r="G41" i="24"/>
  <c r="G38" i="24"/>
  <c r="G34" i="24"/>
  <c r="S23" i="24" a="1"/>
  <c r="S23" i="24" s="1"/>
  <c r="V24" i="24"/>
  <c r="G35" i="24"/>
  <c r="G42" i="24"/>
  <c r="G32" i="24"/>
  <c r="G40" i="24"/>
  <c r="G39" i="24"/>
  <c r="G37" i="24"/>
  <c r="R27" i="24" l="1"/>
  <c r="R25" i="24"/>
  <c r="R24" i="24"/>
  <c r="R26" i="24"/>
  <c r="AD24" i="26"/>
  <c r="M37" i="28"/>
  <c r="D28" i="27" s="1"/>
  <c r="J38" i="28"/>
  <c r="O37" i="28"/>
  <c r="L39" i="26"/>
  <c r="N39" i="26" s="1"/>
  <c r="F30" i="25" s="1"/>
  <c r="L33" i="26"/>
  <c r="N33" i="26" s="1"/>
  <c r="F24" i="25" s="1"/>
  <c r="M31" i="26"/>
  <c r="D22" i="25" s="1"/>
  <c r="J32" i="26"/>
  <c r="L35" i="26"/>
  <c r="N35" i="26" s="1"/>
  <c r="F26" i="25" s="1"/>
  <c r="L37" i="26"/>
  <c r="N37" i="26" s="1"/>
  <c r="F28" i="25" s="1"/>
  <c r="L41" i="26"/>
  <c r="N41" i="26" s="1"/>
  <c r="F32" i="25" s="1"/>
  <c r="C34" i="25"/>
  <c r="L42" i="26"/>
  <c r="N42" i="26" s="1"/>
  <c r="F33" i="25" s="1"/>
  <c r="L40" i="26"/>
  <c r="N40" i="26" s="1"/>
  <c r="F31" i="25" s="1"/>
  <c r="I43" i="26"/>
  <c r="H43" i="26"/>
  <c r="L36" i="26"/>
  <c r="N36" i="26" s="1"/>
  <c r="F27" i="25" s="1"/>
  <c r="L38" i="26"/>
  <c r="N38" i="26" s="1"/>
  <c r="F29" i="25" s="1"/>
  <c r="L32" i="26"/>
  <c r="N32" i="26" s="1"/>
  <c r="F23" i="25" s="1"/>
  <c r="L31" i="26"/>
  <c r="AD23" i="26" a="1"/>
  <c r="AD23" i="26" s="1"/>
  <c r="L34" i="26"/>
  <c r="N34" i="26" s="1"/>
  <c r="F25" i="25" s="1"/>
  <c r="AA24" i="26"/>
  <c r="AA23" i="26" s="1" a="1"/>
  <c r="AA23" i="26" s="1"/>
  <c r="C29" i="23"/>
  <c r="C30" i="23"/>
  <c r="C33" i="23"/>
  <c r="C32" i="23"/>
  <c r="C25" i="23"/>
  <c r="C31" i="23"/>
  <c r="C26" i="23"/>
  <c r="C24" i="23"/>
  <c r="C28" i="23"/>
  <c r="C23" i="23"/>
  <c r="C27" i="23"/>
  <c r="O24" i="24"/>
  <c r="O23" i="24" s="1" a="1"/>
  <c r="O23" i="24" s="1"/>
  <c r="V23" i="24" a="1"/>
  <c r="V23" i="24" s="1"/>
  <c r="G43" i="24"/>
  <c r="C22" i="23"/>
  <c r="W26" i="24" l="1"/>
  <c r="X26" i="24"/>
  <c r="AB26" i="24"/>
  <c r="AC26" i="24" s="1"/>
  <c r="Y26" i="24"/>
  <c r="Z26" i="24" s="1"/>
  <c r="Y24" i="24"/>
  <c r="X24" i="24"/>
  <c r="X23" i="24" s="1" a="1"/>
  <c r="X23" i="24" s="1"/>
  <c r="AB24" i="24"/>
  <c r="R23" i="24" a="1"/>
  <c r="R23" i="24" s="1"/>
  <c r="W25" i="24"/>
  <c r="X25" i="24"/>
  <c r="Y25" i="24"/>
  <c r="Z25" i="24" s="1"/>
  <c r="AB25" i="24"/>
  <c r="AC25" i="24" s="1"/>
  <c r="X27" i="24"/>
  <c r="AB27" i="24"/>
  <c r="AC27" i="24" s="1"/>
  <c r="Y27" i="24"/>
  <c r="Z27" i="24" s="1"/>
  <c r="W27" i="24"/>
  <c r="W24" i="24"/>
  <c r="W23" i="24" s="1" a="1"/>
  <c r="W23" i="24" s="1"/>
  <c r="M38" i="28"/>
  <c r="D29" i="27" s="1"/>
  <c r="J39" i="28"/>
  <c r="O38" i="28"/>
  <c r="G29" i="27" s="1"/>
  <c r="E29" i="27" s="1"/>
  <c r="G28" i="27"/>
  <c r="D24" i="26"/>
  <c r="D23" i="26" s="1" a="1"/>
  <c r="D23" i="26" s="1"/>
  <c r="O32" i="26"/>
  <c r="G23" i="25" s="1"/>
  <c r="E23" i="25" s="1"/>
  <c r="N31" i="26"/>
  <c r="L43" i="26"/>
  <c r="J33" i="26"/>
  <c r="M32" i="26"/>
  <c r="D23" i="25" s="1"/>
  <c r="L33" i="24"/>
  <c r="C34" i="23"/>
  <c r="L35" i="24"/>
  <c r="L34" i="24"/>
  <c r="L36" i="24"/>
  <c r="L41" i="24"/>
  <c r="L42" i="24"/>
  <c r="L32" i="24"/>
  <c r="L39" i="24"/>
  <c r="L37" i="24"/>
  <c r="L40" i="24"/>
  <c r="L38" i="24"/>
  <c r="L31" i="24"/>
  <c r="AD27" i="24" l="1"/>
  <c r="I36" i="24"/>
  <c r="I41" i="24"/>
  <c r="H36" i="24"/>
  <c r="H39" i="24"/>
  <c r="H31" i="24"/>
  <c r="H42" i="24"/>
  <c r="H34" i="24"/>
  <c r="H41" i="24"/>
  <c r="I33" i="24"/>
  <c r="H32" i="24"/>
  <c r="H33" i="24"/>
  <c r="I42" i="24"/>
  <c r="I38" i="24"/>
  <c r="I35" i="24"/>
  <c r="I31" i="24"/>
  <c r="H37" i="24"/>
  <c r="I34" i="24"/>
  <c r="H40" i="24"/>
  <c r="I37" i="24"/>
  <c r="I39" i="24"/>
  <c r="I40" i="24"/>
  <c r="H35" i="24"/>
  <c r="H38" i="24"/>
  <c r="I32" i="24"/>
  <c r="AA25" i="24"/>
  <c r="Y23" i="24" a="1"/>
  <c r="Y23" i="24" s="1"/>
  <c r="Z24" i="24"/>
  <c r="AA27" i="24"/>
  <c r="D27" i="24" s="1"/>
  <c r="AD25" i="24"/>
  <c r="D25" i="24" s="1"/>
  <c r="AC24" i="24"/>
  <c r="AB23" i="24" a="1"/>
  <c r="AB23" i="24" s="1"/>
  <c r="AD26" i="24"/>
  <c r="AA26" i="24"/>
  <c r="N42" i="24"/>
  <c r="F33" i="23" s="1"/>
  <c r="N36" i="24"/>
  <c r="F27" i="23" s="1"/>
  <c r="N35" i="24"/>
  <c r="F26" i="23" s="1"/>
  <c r="N33" i="24"/>
  <c r="F24" i="23" s="1"/>
  <c r="N31" i="24"/>
  <c r="F22" i="23" s="1"/>
  <c r="N40" i="24"/>
  <c r="F31" i="23" s="1"/>
  <c r="N38" i="24"/>
  <c r="F29" i="23" s="1"/>
  <c r="N37" i="24"/>
  <c r="F28" i="23" s="1"/>
  <c r="N39" i="24"/>
  <c r="F30" i="23" s="1"/>
  <c r="N32" i="24"/>
  <c r="N41" i="24"/>
  <c r="F32" i="23" s="1"/>
  <c r="N34" i="24"/>
  <c r="F25" i="23" s="1"/>
  <c r="J40" i="28"/>
  <c r="M39" i="28"/>
  <c r="D30" i="27" s="1"/>
  <c r="O39" i="28"/>
  <c r="G30" i="27" s="1"/>
  <c r="E30" i="27" s="1"/>
  <c r="E28" i="27"/>
  <c r="J34" i="26"/>
  <c r="M33" i="26"/>
  <c r="D24" i="25" s="1"/>
  <c r="O33" i="26"/>
  <c r="G24" i="25" s="1"/>
  <c r="E24" i="25" s="1"/>
  <c r="N43" i="26"/>
  <c r="F22" i="25"/>
  <c r="F34" i="25" s="1"/>
  <c r="O31" i="26"/>
  <c r="L43" i="24"/>
  <c r="I43" i="24" l="1"/>
  <c r="Z23" i="24" a="1"/>
  <c r="Z23" i="24" s="1"/>
  <c r="J31" i="24" s="1"/>
  <c r="AA24" i="24"/>
  <c r="AA23" i="24" s="1" a="1"/>
  <c r="AA23" i="24" s="1"/>
  <c r="H43" i="24"/>
  <c r="AC23" i="24" a="1"/>
  <c r="AC23" i="24" s="1"/>
  <c r="K31" i="24" s="1"/>
  <c r="K32" i="24" s="1"/>
  <c r="K33" i="24" s="1"/>
  <c r="K34" i="24" s="1"/>
  <c r="K35" i="24" s="1"/>
  <c r="K36" i="24" s="1"/>
  <c r="K37" i="24" s="1"/>
  <c r="K38" i="24" s="1"/>
  <c r="K39" i="24" s="1"/>
  <c r="K40" i="24" s="1"/>
  <c r="K41" i="24" s="1"/>
  <c r="K42" i="24" s="1"/>
  <c r="AD24" i="24"/>
  <c r="D26" i="24"/>
  <c r="N43" i="24"/>
  <c r="O31" i="24"/>
  <c r="F23" i="23"/>
  <c r="M40" i="28"/>
  <c r="D31" i="27" s="1"/>
  <c r="J41" i="28"/>
  <c r="O40" i="28"/>
  <c r="G31" i="27" s="1"/>
  <c r="E31" i="27" s="1"/>
  <c r="G22" i="25"/>
  <c r="M34" i="26"/>
  <c r="D25" i="25" s="1"/>
  <c r="J35" i="26"/>
  <c r="O34" i="26"/>
  <c r="G25" i="25" s="1"/>
  <c r="E25" i="25" s="1"/>
  <c r="D24" i="24" l="1"/>
  <c r="D23" i="24" s="1" a="1"/>
  <c r="D23" i="24" s="1"/>
  <c r="AD23" i="24" a="1"/>
  <c r="AD23" i="24" s="1"/>
  <c r="J32" i="24"/>
  <c r="M31" i="24"/>
  <c r="D22" i="23" s="1"/>
  <c r="G22" i="23"/>
  <c r="E22" i="23" s="1"/>
  <c r="F34" i="23"/>
  <c r="M41" i="28"/>
  <c r="D32" i="27" s="1"/>
  <c r="J42" i="28"/>
  <c r="O41" i="28"/>
  <c r="G32" i="27" s="1"/>
  <c r="E32" i="27" s="1"/>
  <c r="J36" i="26"/>
  <c r="M35" i="26"/>
  <c r="D26" i="25" s="1"/>
  <c r="O35" i="26"/>
  <c r="G26" i="25" s="1"/>
  <c r="E26" i="25" s="1"/>
  <c r="E22" i="25"/>
  <c r="M32" i="24" l="1"/>
  <c r="D23" i="23" s="1"/>
  <c r="J33" i="24"/>
  <c r="O32" i="24"/>
  <c r="G23" i="23" s="1"/>
  <c r="E23" i="23" s="1"/>
  <c r="M42" i="28"/>
  <c r="D33" i="27" s="1"/>
  <c r="O42" i="28"/>
  <c r="J37" i="26"/>
  <c r="M36" i="26"/>
  <c r="D27" i="25" s="1"/>
  <c r="O36" i="26"/>
  <c r="G27" i="25" s="1"/>
  <c r="E27" i="25" s="1"/>
  <c r="M33" i="24" l="1"/>
  <c r="D24" i="23" s="1"/>
  <c r="J34" i="24"/>
  <c r="O33" i="24"/>
  <c r="G24" i="23" s="1"/>
  <c r="E24" i="23" s="1"/>
  <c r="G33" i="27"/>
  <c r="O43" i="28"/>
  <c r="L44" i="28" s="1"/>
  <c r="M37" i="26"/>
  <c r="D28" i="25" s="1"/>
  <c r="J38" i="26"/>
  <c r="O37" i="26"/>
  <c r="G28" i="25" s="1"/>
  <c r="E28" i="25" s="1"/>
  <c r="O34" i="24" l="1"/>
  <c r="G25" i="23" s="1"/>
  <c r="E25" i="23" s="1"/>
  <c r="M34" i="24"/>
  <c r="D25" i="23" s="1"/>
  <c r="J35" i="24"/>
  <c r="E33" i="27"/>
  <c r="E34" i="27" s="1"/>
  <c r="G34" i="27"/>
  <c r="G37" i="27" s="1"/>
  <c r="M38" i="26"/>
  <c r="D29" i="25" s="1"/>
  <c r="J39" i="26"/>
  <c r="O38" i="26"/>
  <c r="G29" i="25" s="1"/>
  <c r="E29" i="25" s="1"/>
  <c r="O35" i="24" l="1"/>
  <c r="G26" i="23" s="1"/>
  <c r="E26" i="23" s="1"/>
  <c r="J36" i="24"/>
  <c r="M35" i="24"/>
  <c r="D26" i="23" s="1"/>
  <c r="G38" i="27"/>
  <c r="G39" i="27"/>
  <c r="F38" i="27"/>
  <c r="F39" i="27"/>
  <c r="J40" i="26"/>
  <c r="M39" i="26"/>
  <c r="D30" i="25" s="1"/>
  <c r="O39" i="26"/>
  <c r="G30" i="25" s="1"/>
  <c r="O36" i="24" l="1"/>
  <c r="G27" i="23" s="1"/>
  <c r="E27" i="23" s="1"/>
  <c r="M36" i="24"/>
  <c r="D27" i="23" s="1"/>
  <c r="J37" i="24"/>
  <c r="E30" i="25"/>
  <c r="M40" i="26"/>
  <c r="D31" i="25" s="1"/>
  <c r="J41" i="26"/>
  <c r="O40" i="26"/>
  <c r="G31" i="25" s="1"/>
  <c r="E31" i="25" s="1"/>
  <c r="O37" i="24" l="1"/>
  <c r="G28" i="23" s="1"/>
  <c r="E28" i="23" s="1"/>
  <c r="M37" i="24"/>
  <c r="D28" i="23" s="1"/>
  <c r="J38" i="24"/>
  <c r="M41" i="26"/>
  <c r="D32" i="25" s="1"/>
  <c r="J42" i="26"/>
  <c r="O41" i="26"/>
  <c r="G32" i="25" s="1"/>
  <c r="E32" i="25" s="1"/>
  <c r="O38" i="24" l="1"/>
  <c r="G29" i="23" s="1"/>
  <c r="E29" i="23" s="1"/>
  <c r="J39" i="24"/>
  <c r="M38" i="24"/>
  <c r="D29" i="23" s="1"/>
  <c r="M42" i="26"/>
  <c r="D33" i="25" s="1"/>
  <c r="O42" i="26"/>
  <c r="O39" i="24" l="1"/>
  <c r="G30" i="23" s="1"/>
  <c r="E30" i="23" s="1"/>
  <c r="M39" i="24"/>
  <c r="D30" i="23" s="1"/>
  <c r="J40" i="24"/>
  <c r="G33" i="25"/>
  <c r="O43" i="26"/>
  <c r="L44" i="26" s="1"/>
  <c r="O40" i="24" l="1"/>
  <c r="G31" i="23" s="1"/>
  <c r="E31" i="23" s="1"/>
  <c r="M40" i="24"/>
  <c r="D31" i="23" s="1"/>
  <c r="J41" i="24"/>
  <c r="E33" i="25"/>
  <c r="E34" i="25" s="1"/>
  <c r="G34" i="25"/>
  <c r="G37" i="25" s="1"/>
  <c r="O41" i="24" l="1"/>
  <c r="G32" i="23" s="1"/>
  <c r="E32" i="23" s="1"/>
  <c r="M41" i="24"/>
  <c r="D32" i="23" s="1"/>
  <c r="J42" i="24"/>
  <c r="F39" i="25"/>
  <c r="F38" i="25"/>
  <c r="G38" i="25"/>
  <c r="G39" i="25"/>
  <c r="B2" i="20"/>
  <c r="B2" i="19"/>
  <c r="D2" i="18"/>
  <c r="O42" i="24" l="1"/>
  <c r="M42" i="24"/>
  <c r="D33" i="23" s="1"/>
  <c r="B10" i="21"/>
  <c r="F2" i="21"/>
  <c r="O43" i="24" l="1"/>
  <c r="L44" i="24" s="1"/>
  <c r="G33" i="23"/>
  <c r="C7" i="21"/>
  <c r="E7" i="21" s="1"/>
  <c r="C6" i="21"/>
  <c r="E6" i="21" s="1"/>
  <c r="C4" i="21"/>
  <c r="E4" i="21" s="1"/>
  <c r="C5" i="21"/>
  <c r="E5" i="21" s="1"/>
  <c r="F17" i="13"/>
  <c r="F18" i="13" s="1"/>
  <c r="F19" i="13" s="1"/>
  <c r="E6" i="15"/>
  <c r="E33" i="23" l="1"/>
  <c r="E34" i="23" s="1"/>
  <c r="G34" i="23"/>
  <c r="G37" i="23" s="1"/>
  <c r="P25" i="15"/>
  <c r="F54" i="15" s="1"/>
  <c r="G54" i="15" s="1"/>
  <c r="H54" i="15" s="1"/>
  <c r="P24" i="15"/>
  <c r="E7" i="15"/>
  <c r="Q24" i="15" s="1"/>
  <c r="F23" i="15" a="1"/>
  <c r="F23" i="15" s="1"/>
  <c r="G23" i="15" a="1"/>
  <c r="G23" i="15" s="1"/>
  <c r="H23" i="15" a="1"/>
  <c r="H23" i="15" s="1"/>
  <c r="I23" i="15" a="1"/>
  <c r="I23" i="15" s="1"/>
  <c r="J23" i="15" a="1"/>
  <c r="J23" i="15" s="1"/>
  <c r="K23" i="15" a="1"/>
  <c r="K23" i="15" s="1"/>
  <c r="L23" i="15" a="1"/>
  <c r="L23" i="15" s="1"/>
  <c r="M23" i="15" a="1"/>
  <c r="M23" i="15" s="1"/>
  <c r="U25" i="15"/>
  <c r="U26" i="15"/>
  <c r="U27" i="15"/>
  <c r="U23" i="15" a="1"/>
  <c r="U23" i="15" s="1"/>
  <c r="G39" i="23" l="1"/>
  <c r="F39" i="23"/>
  <c r="F38" i="23"/>
  <c r="G38" i="23"/>
  <c r="P16" i="15"/>
  <c r="F53" i="15"/>
  <c r="E3" i="15"/>
  <c r="G3" i="15" s="1"/>
  <c r="G5" i="15" s="1"/>
  <c r="G36" i="11"/>
  <c r="P27" i="15"/>
  <c r="F56" i="15" s="1"/>
  <c r="P26" i="15"/>
  <c r="F55" i="15" s="1"/>
  <c r="G55" i="15" s="1"/>
  <c r="Q25" i="15"/>
  <c r="Q26" i="15"/>
  <c r="Q27" i="15"/>
  <c r="H51" i="15" l="1"/>
  <c r="F52" i="15"/>
  <c r="G53" i="15"/>
  <c r="P23" i="15" a="1"/>
  <c r="P23" i="15" s="1"/>
  <c r="G17" i="11" s="1"/>
  <c r="G6" i="15"/>
  <c r="G7" i="15"/>
  <c r="H3" i="15"/>
  <c r="E8" i="15" l="1"/>
  <c r="T24" i="15" s="1"/>
  <c r="G52" i="15"/>
  <c r="H53" i="15"/>
  <c r="H52" i="15" s="1"/>
  <c r="F33" i="15"/>
  <c r="E37" i="15"/>
  <c r="E34" i="15"/>
  <c r="E36" i="15"/>
  <c r="F35" i="15"/>
  <c r="T26" i="15"/>
  <c r="F36" i="15"/>
  <c r="F31" i="15"/>
  <c r="E33" i="15"/>
  <c r="E42" i="15"/>
  <c r="G42" i="15" s="1"/>
  <c r="F38" i="15"/>
  <c r="F41" i="15"/>
  <c r="G41" i="15" s="1"/>
  <c r="E32" i="15"/>
  <c r="F40" i="15"/>
  <c r="E38" i="15"/>
  <c r="E35" i="15"/>
  <c r="E41" i="15"/>
  <c r="F42" i="15"/>
  <c r="E39" i="15"/>
  <c r="F34" i="15"/>
  <c r="F37" i="15"/>
  <c r="E40" i="15"/>
  <c r="T27" i="15"/>
  <c r="F39" i="15"/>
  <c r="G39" i="15" s="1"/>
  <c r="C30" i="11" s="1"/>
  <c r="E31" i="15"/>
  <c r="F32" i="15"/>
  <c r="T25" i="15"/>
  <c r="E5" i="15"/>
  <c r="R27" i="15" s="1"/>
  <c r="G37" i="15" l="1"/>
  <c r="C28" i="11" s="1"/>
  <c r="T23" i="15" a="1"/>
  <c r="T23" i="15" s="1"/>
  <c r="G33" i="15"/>
  <c r="C24" i="11" s="1"/>
  <c r="G40" i="15"/>
  <c r="C31" i="11" s="1"/>
  <c r="G34" i="15"/>
  <c r="C25" i="11" s="1"/>
  <c r="G35" i="15"/>
  <c r="C26" i="11" s="1"/>
  <c r="G32" i="15"/>
  <c r="C23" i="11" s="1"/>
  <c r="G36" i="15"/>
  <c r="C27" i="11" s="1"/>
  <c r="R24" i="15"/>
  <c r="AB24" i="15" s="1"/>
  <c r="AC24" i="15" s="1"/>
  <c r="G38" i="15"/>
  <c r="C29" i="11" s="1"/>
  <c r="G31" i="15"/>
  <c r="C22" i="11" s="1"/>
  <c r="V24" i="15"/>
  <c r="O24" i="15" s="1"/>
  <c r="V25" i="15"/>
  <c r="O25" i="15" s="1"/>
  <c r="R25" i="15"/>
  <c r="R26" i="15"/>
  <c r="X27" i="15"/>
  <c r="AB27" i="15"/>
  <c r="AC27" i="15" s="1"/>
  <c r="Y27" i="15"/>
  <c r="Z27" i="15" s="1"/>
  <c r="C32" i="11"/>
  <c r="C33" i="11"/>
  <c r="Y24" i="15" l="1"/>
  <c r="Z24" i="15" s="1"/>
  <c r="O23" i="15" a="1"/>
  <c r="O23" i="15" s="1"/>
  <c r="X24" i="15"/>
  <c r="AD24" i="15" s="1"/>
  <c r="G43" i="15"/>
  <c r="S23" i="15" a="1"/>
  <c r="S23" i="15" s="1"/>
  <c r="W24" i="15"/>
  <c r="V27" i="15"/>
  <c r="O27" i="15" s="1"/>
  <c r="Y25" i="15"/>
  <c r="Z25" i="15" s="1"/>
  <c r="X25" i="15"/>
  <c r="W25" i="15"/>
  <c r="AB25" i="15"/>
  <c r="AC25" i="15" s="1"/>
  <c r="R23" i="15" a="1"/>
  <c r="R23" i="15" s="1"/>
  <c r="Y26" i="15"/>
  <c r="AB26" i="15"/>
  <c r="X26" i="15"/>
  <c r="V26" i="15"/>
  <c r="AD27" i="15"/>
  <c r="G18" i="11"/>
  <c r="Q23" i="15" a="1"/>
  <c r="Q23" i="15" s="1"/>
  <c r="C34" i="11"/>
  <c r="AA24" i="15" l="1"/>
  <c r="L42" i="15"/>
  <c r="G19" i="11"/>
  <c r="AA25" i="15"/>
  <c r="W27" i="15"/>
  <c r="AA27" i="15" s="1"/>
  <c r="D27" i="15" s="1"/>
  <c r="O26" i="15"/>
  <c r="V23" i="15" a="1"/>
  <c r="V23" i="15" s="1"/>
  <c r="H34" i="15"/>
  <c r="H33" i="15"/>
  <c r="H32" i="15"/>
  <c r="H35" i="15"/>
  <c r="H31" i="15"/>
  <c r="I31" i="15"/>
  <c r="H39" i="15"/>
  <c r="I34" i="15"/>
  <c r="H37" i="15"/>
  <c r="I36" i="15"/>
  <c r="I35" i="15"/>
  <c r="I32" i="15"/>
  <c r="I42" i="15"/>
  <c r="I37" i="15"/>
  <c r="I39" i="15"/>
  <c r="I33" i="15"/>
  <c r="H42" i="15"/>
  <c r="I40" i="15"/>
  <c r="I41" i="15"/>
  <c r="H36" i="15"/>
  <c r="H40" i="15"/>
  <c r="H38" i="15"/>
  <c r="I38" i="15"/>
  <c r="H41" i="15"/>
  <c r="AC26" i="15"/>
  <c r="AC23" i="15" s="1" a="1"/>
  <c r="AC23" i="15" s="1"/>
  <c r="K31" i="15" s="1"/>
  <c r="K32" i="15" s="1"/>
  <c r="AB23" i="15" a="1"/>
  <c r="AB23" i="15" s="1"/>
  <c r="AD25" i="15"/>
  <c r="X23" i="15" a="1"/>
  <c r="X23" i="15" s="1"/>
  <c r="G56" i="15" s="1"/>
  <c r="Z26" i="15"/>
  <c r="Z23" i="15" s="1" a="1"/>
  <c r="Z23" i="15" s="1"/>
  <c r="J31" i="15" s="1"/>
  <c r="J32" i="15" s="1"/>
  <c r="J33" i="15" s="1"/>
  <c r="J34" i="15" s="1"/>
  <c r="J35" i="15" s="1"/>
  <c r="J36" i="15" s="1"/>
  <c r="J37" i="15" s="1"/>
  <c r="J38" i="15" s="1"/>
  <c r="J39" i="15" s="1"/>
  <c r="J40" i="15" s="1"/>
  <c r="J41" i="15" s="1"/>
  <c r="J42" i="15" s="1"/>
  <c r="Y23" i="15" a="1"/>
  <c r="Y23" i="15" s="1"/>
  <c r="W26" i="15"/>
  <c r="D24" i="15"/>
  <c r="D25" i="15" l="1"/>
  <c r="AD26" i="15"/>
  <c r="AD23" i="15" s="1" a="1"/>
  <c r="AD23" i="15" s="1"/>
  <c r="I43" i="15"/>
  <c r="H43" i="15"/>
  <c r="M31" i="15"/>
  <c r="D22" i="11" s="1"/>
  <c r="AA26" i="15"/>
  <c r="AA23" i="15" s="1" a="1"/>
  <c r="AA23" i="15" s="1"/>
  <c r="W23" i="15" a="1"/>
  <c r="W23" i="15" s="1"/>
  <c r="L41" i="15"/>
  <c r="N41" i="15" s="1"/>
  <c r="F32" i="11" s="1"/>
  <c r="L37" i="15"/>
  <c r="N37" i="15" s="1"/>
  <c r="F28" i="11" s="1"/>
  <c r="L34" i="15"/>
  <c r="N34" i="15" s="1"/>
  <c r="F25" i="11" s="1"/>
  <c r="L32" i="15"/>
  <c r="N32" i="15" s="1"/>
  <c r="F23" i="11" s="1"/>
  <c r="L33" i="15"/>
  <c r="N33" i="15" s="1"/>
  <c r="F24" i="11" s="1"/>
  <c r="L36" i="15"/>
  <c r="N36" i="15" s="1"/>
  <c r="F27" i="11" s="1"/>
  <c r="N42" i="15"/>
  <c r="F33" i="11" s="1"/>
  <c r="L39" i="15"/>
  <c r="N39" i="15" s="1"/>
  <c r="F30" i="11" s="1"/>
  <c r="L38" i="15"/>
  <c r="N38" i="15" s="1"/>
  <c r="F29" i="11" s="1"/>
  <c r="L35" i="15"/>
  <c r="N35" i="15" s="1"/>
  <c r="F26" i="11" s="1"/>
  <c r="L40" i="15"/>
  <c r="N40" i="15" s="1"/>
  <c r="F31" i="11" s="1"/>
  <c r="L31" i="15"/>
  <c r="K33" i="15"/>
  <c r="M32" i="15"/>
  <c r="D23" i="11" s="1"/>
  <c r="D26" i="15" l="1"/>
  <c r="D23" i="15" s="1" a="1"/>
  <c r="D23" i="15" s="1"/>
  <c r="L43" i="15"/>
  <c r="N31" i="15"/>
  <c r="O32" i="15"/>
  <c r="G23" i="11" s="1"/>
  <c r="E23" i="11" s="1"/>
  <c r="K34" i="15"/>
  <c r="M33" i="15"/>
  <c r="D24" i="11" s="1"/>
  <c r="O33" i="15"/>
  <c r="G24" i="11" s="1"/>
  <c r="E24" i="11" s="1"/>
  <c r="N43" i="15" l="1"/>
  <c r="O31" i="15"/>
  <c r="G22" i="11" s="1"/>
  <c r="F22" i="11"/>
  <c r="F34" i="11" s="1"/>
  <c r="K35" i="15"/>
  <c r="M34" i="15"/>
  <c r="D25" i="11" s="1"/>
  <c r="O34" i="15"/>
  <c r="E22" i="11" l="1"/>
  <c r="G25" i="11"/>
  <c r="K36" i="15"/>
  <c r="M35" i="15"/>
  <c r="D26" i="11" s="1"/>
  <c r="O35" i="15"/>
  <c r="G26" i="11" s="1"/>
  <c r="E26" i="11" s="1"/>
  <c r="K37" i="15" l="1"/>
  <c r="M36" i="15"/>
  <c r="D27" i="11" s="1"/>
  <c r="O36" i="15"/>
  <c r="G27" i="11" s="1"/>
  <c r="E27" i="11" s="1"/>
  <c r="E25" i="11"/>
  <c r="K38" i="15" l="1"/>
  <c r="M37" i="15"/>
  <c r="D28" i="11" s="1"/>
  <c r="O37" i="15"/>
  <c r="G28" i="11" s="1"/>
  <c r="E28" i="11" l="1"/>
  <c r="K39" i="15"/>
  <c r="M38" i="15"/>
  <c r="D29" i="11" s="1"/>
  <c r="O38" i="15"/>
  <c r="G29" i="11" s="1"/>
  <c r="E29" i="11" s="1"/>
  <c r="K40" i="15" l="1"/>
  <c r="M39" i="15"/>
  <c r="D30" i="11" s="1"/>
  <c r="O39" i="15"/>
  <c r="G30" i="11" l="1"/>
  <c r="K41" i="15"/>
  <c r="M40" i="15"/>
  <c r="D31" i="11" s="1"/>
  <c r="O40" i="15"/>
  <c r="G31" i="11" s="1"/>
  <c r="E31" i="11" s="1"/>
  <c r="K42" i="15" l="1"/>
  <c r="M41" i="15"/>
  <c r="D32" i="11" s="1"/>
  <c r="O41" i="15"/>
  <c r="G32" i="11" s="1"/>
  <c r="E32" i="11" s="1"/>
  <c r="E30" i="11"/>
  <c r="M42" i="15" l="1"/>
  <c r="D33" i="11" s="1"/>
  <c r="O42" i="15"/>
  <c r="G33" i="11" l="1"/>
  <c r="O43" i="15"/>
  <c r="L44" i="15" s="1"/>
  <c r="E33" i="11" l="1"/>
  <c r="E34" i="11" s="1"/>
  <c r="G34" i="11"/>
  <c r="G37" i="11" s="1"/>
  <c r="F38" i="11" l="1"/>
  <c r="G38" i="11"/>
  <c r="G39" i="11"/>
  <c r="F3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EFC63ADA-C2B2-45E5-AEA5-FAE0F227750B}">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2981A0EF-3DDA-4759-90C9-C23C7F79F61F}">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I9" authorId="0" shapeId="0" xr:uid="{00000000-0006-0000-0200-000001000000}">
      <text>
        <r>
          <rPr>
            <b/>
            <sz val="8"/>
            <color indexed="45"/>
            <rFont val="Tahoma"/>
            <family val="2"/>
          </rPr>
          <t>Voor</t>
        </r>
        <r>
          <rPr>
            <b/>
            <u/>
            <sz val="8"/>
            <color indexed="45"/>
            <rFont val="Tahoma"/>
            <family val="2"/>
          </rPr>
          <t xml:space="preserve"> valse hybride wagens</t>
        </r>
        <r>
          <rPr>
            <b/>
            <sz val="8"/>
            <color indexed="45"/>
            <rFont val="Tahoma"/>
            <family val="2"/>
          </rPr>
          <t xml:space="preserve"> gekocht, besteld of geleasd vanaf 1 januari 2018 (ondertekening contract/bestelbon) rekent de fiscus met de CO</t>
        </r>
        <r>
          <rPr>
            <b/>
            <vertAlign val="subscript"/>
            <sz val="8"/>
            <color indexed="45"/>
            <rFont val="Tahoma"/>
            <family val="2"/>
          </rPr>
          <t>2</t>
        </r>
        <r>
          <rPr>
            <b/>
            <sz val="8"/>
            <color indexed="45"/>
            <rFont val="Tahoma"/>
            <family val="2"/>
          </rPr>
          <t xml:space="preserve">-uitstoot van de niet-hybride tegenhanger voor het vaststellen van het voordeel alle aard wagen toegekend vanaf 1 januari 2020. 
Indien er geen overeenstemmend model met klassieke aandrijving is, vermenigvuldigt u de officiële CO2-uitstoot vermeld op het inschrijvingsbewijs of gelijkvormigheidsattest van de zogenaamde valse hybride wagen met de factor 2,5.
Met </t>
        </r>
        <r>
          <rPr>
            <b/>
            <u/>
            <sz val="8"/>
            <color indexed="45"/>
            <rFont val="Tahoma"/>
            <family val="2"/>
          </rPr>
          <t>elektrisch</t>
        </r>
        <r>
          <rPr>
            <b/>
            <sz val="8"/>
            <color indexed="45"/>
            <rFont val="Tahoma"/>
            <family val="2"/>
          </rPr>
          <t xml:space="preserve"> wordt bedoeld een 100% elektrische wagen, de uitstoot is gelijk aan nul.
Met</t>
        </r>
        <r>
          <rPr>
            <b/>
            <u/>
            <sz val="8"/>
            <color indexed="45"/>
            <rFont val="Tahoma"/>
            <family val="2"/>
          </rPr>
          <t xml:space="preserve"> valse hybride wagens</t>
        </r>
        <r>
          <rPr>
            <b/>
            <sz val="8"/>
            <color indexed="45"/>
            <rFont val="Tahoma"/>
            <family val="2"/>
          </rPr>
          <t xml:space="preserve"> wordt bedoeld plug-in hybrides hetzij met een batterij met een energiecapaciteit van minder dan 0,5 kWh per 100 kilogram wagengewicht,  hetzij met een uitstoot van meer dan 50g/km.</t>
        </r>
      </text>
    </comment>
    <comment ref="I10" authorId="0" shapeId="0" xr:uid="{00000000-0006-0000-0200-000002000000}">
      <text>
        <r>
          <rPr>
            <b/>
            <sz val="8"/>
            <color indexed="45"/>
            <rFont val="Tahoma"/>
            <family val="2"/>
          </rPr>
          <t>De waarde die u hier moet invullen is gelijk aan:
catalogusprijs exclusief btw + opties exclusief btw + werkelijk betaalde btw
Een door de constructeur of invoerder tijdelijk verlaagde catalogusprijs (of prijs optiepakket) geldt als berekeningsgrondslag voor het voordeel alle aard indien die (tijdelijke) prijs door de constructeur of invoerder ook daadwerkelijk wordt opgenomen als een nieuwe catalogusprijs in zijn prijslijsten en die verlaagde prijzen ook van toepassing zijn bij verkoop aan een particulier. Een korting gegeven door een lokale dealer mag evenwel niet in mindering van de catalogusprijs komen.  
Voorbeeld:
Catalogusprijs excl. btw: 25.000
Opties excl. btw: 2.500
Korting (lokale dealer): 1.500
Betaalde btw: 21% over (25.000+2.500-1.500) = 5.460
In te vullen waarde: 25.000+2.500+5.460=32.960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107E5E66-8107-4B99-A34B-1FEAAF6F8971}">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0CB32B21-DE1F-4C70-B9F6-6BB1B6BC5AC5}">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I9" authorId="0" shapeId="0" xr:uid="{5D4A7457-BA91-4801-8448-7C66958CE021}">
      <text>
        <r>
          <rPr>
            <b/>
            <sz val="8"/>
            <color indexed="45"/>
            <rFont val="Tahoma"/>
            <family val="2"/>
          </rPr>
          <t>Pour les</t>
        </r>
        <r>
          <rPr>
            <b/>
            <u/>
            <sz val="8"/>
            <color indexed="45"/>
            <rFont val="Tahoma"/>
            <family val="2"/>
          </rPr>
          <t xml:space="preserve"> fausses hybrides</t>
        </r>
        <r>
          <rPr>
            <b/>
            <sz val="8"/>
            <color indexed="45"/>
            <rFont val="Tahoma"/>
            <family val="2"/>
          </rPr>
          <t xml:space="preserve"> achetées, commandées ou louées depuis le 1er janvier 2018 (signature du contrat/bon de commande), l'administration fiscale se basera sur les émissions de CO</t>
        </r>
        <r>
          <rPr>
            <b/>
            <vertAlign val="subscript"/>
            <sz val="8"/>
            <color indexed="45"/>
            <rFont val="Tahoma"/>
            <family val="2"/>
          </rPr>
          <t>2</t>
        </r>
        <r>
          <rPr>
            <b/>
            <sz val="8"/>
            <color indexed="45"/>
            <rFont val="Tahoma"/>
            <family val="2"/>
          </rPr>
          <t xml:space="preserve"> de l'équivalent non hybride pour déterminer les ATN voiture accordés depuis le 1er janvier 2020. 
S'il n'existe pas de modèle équivalent à propulsion conventionnelle, multipliez les émissions officielles de CO</t>
        </r>
        <r>
          <rPr>
            <b/>
            <vertAlign val="subscript"/>
            <sz val="8"/>
            <color indexed="45"/>
            <rFont val="Tahoma"/>
            <family val="2"/>
          </rPr>
          <t>2</t>
        </r>
        <r>
          <rPr>
            <b/>
            <sz val="8"/>
            <color indexed="45"/>
            <rFont val="Tahoma"/>
            <family val="2"/>
          </rPr>
          <t xml:space="preserve"> mentionnées sur le certificat d'immatriculation ou sur l'attestation de conformité de la fausse hybride par un facteur de 2,5.
Le terme </t>
        </r>
        <r>
          <rPr>
            <b/>
            <u/>
            <sz val="8"/>
            <color indexed="45"/>
            <rFont val="Tahoma"/>
            <family val="2"/>
          </rPr>
          <t>« électrique »</t>
        </r>
        <r>
          <rPr>
            <b/>
            <sz val="8"/>
            <color indexed="45"/>
            <rFont val="Tahoma"/>
            <family val="2"/>
          </rPr>
          <t xml:space="preserve"> désigne une voiture 100 % électrique.
Sont considérées comme de</t>
        </r>
        <r>
          <rPr>
            <b/>
            <u/>
            <sz val="8"/>
            <color indexed="45"/>
            <rFont val="Tahoma"/>
            <family val="2"/>
          </rPr>
          <t xml:space="preserve"> fausses hybrides</t>
        </r>
        <r>
          <rPr>
            <b/>
            <sz val="8"/>
            <color indexed="45"/>
            <rFont val="Tahoma"/>
            <family val="2"/>
          </rPr>
          <t xml:space="preserve"> : les hybrides rechargeables plug-in qui soit sont équipées d'une batterie à capacité énergétique de moins de 0,5 kWh par 100 kg de poids de la voiture, soit émettent plus de 50 g de CO2 par km.</t>
        </r>
      </text>
    </comment>
    <comment ref="I10" authorId="0" shapeId="0" xr:uid="{E0FB60A4-E999-44B6-B87A-8254492259C7}">
      <text>
        <r>
          <rPr>
            <b/>
            <sz val="8"/>
            <color indexed="45"/>
            <rFont val="Tahoma"/>
            <family val="2"/>
          </rPr>
          <t>La valeur que vous devez indiquer ici est égale au calcul suivant :
prix catalogue HTVA + options HTVA + TVA effectivement payée
Un prix catalogue (ou le prix d'un pack d'options) temporairement réduit par le fabricant ou l'importateur n'est pris en compte dans la base de calcul de l'avantage en nature que si ce prix (temporaire) est effectivement inclus par le fabricant ou l'importateur dans ses listes de prix en tant que nouveau prix catalogue,  et s'il s'applique également aux ventes à un particulier.
Une remise accordée par un concessionnaire local ne peut pas être déduite du prix catalogue.  
Exemple :
Prix catalogue HTVA : 25 000 €
Options HTVA : 2 500 €
Remise (concessionnaire local) : 1 500 €
TVA payée : 21 % × (25 000 € + 2 500 € - 1 500 €) = 5 460 €
→ valeur à remplir : 25 000 € + 2 500 € + 5 460 € = 32 960 €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6EAC3410-A57E-42CD-8D48-8665C9084929}">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94FEC9BC-4D77-4EB7-91DE-619F231DAE8A}">
      <text>
        <r>
          <rPr>
            <b/>
            <sz val="8"/>
            <color indexed="8"/>
            <rFont val="Tahoma"/>
            <family val="2"/>
          </rPr>
          <t>De redactie staat in voor de betrouwbaarheid van dit rekenmodel, waarvoor ze echter niet aansprakelijk gesteld kan worden.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I9" authorId="0" shapeId="0" xr:uid="{7419D42D-9283-4E3B-98DA-A9CE7DCFF087}">
      <text>
        <r>
          <rPr>
            <b/>
            <sz val="8"/>
            <color indexed="45"/>
            <rFont val="Tahoma"/>
            <family val="2"/>
          </rPr>
          <t>Voor</t>
        </r>
        <r>
          <rPr>
            <b/>
            <u/>
            <sz val="8"/>
            <color indexed="45"/>
            <rFont val="Tahoma"/>
            <family val="2"/>
          </rPr>
          <t xml:space="preserve"> valse hybride wagens</t>
        </r>
        <r>
          <rPr>
            <b/>
            <sz val="8"/>
            <color indexed="45"/>
            <rFont val="Tahoma"/>
            <family val="2"/>
          </rPr>
          <t xml:space="preserve"> gekocht, besteld of geleasd vanaf 1 januari 2018 (ondertekening contract/bestelbon) rekent de fiscus met de CO</t>
        </r>
        <r>
          <rPr>
            <b/>
            <vertAlign val="subscript"/>
            <sz val="8"/>
            <color indexed="45"/>
            <rFont val="Tahoma"/>
            <family val="2"/>
          </rPr>
          <t>2</t>
        </r>
        <r>
          <rPr>
            <b/>
            <sz val="8"/>
            <color indexed="45"/>
            <rFont val="Tahoma"/>
            <family val="2"/>
          </rPr>
          <t xml:space="preserve">-uitstoot van de niet-hybride tegenhanger voor het vaststellen van het voordeel alle aard wagen toegekend vanaf 1 januari 2020. 
Indien er geen overeenstemmend model met klassieke aandrijving is, vermenigvuldigt u de officiële CO2-uitstoot vermeld op het inschrijvingsbewijs of gelijkvormigheidsattest van de zogenaamde valse hybride wagen met de factor 2,5.
Met </t>
        </r>
        <r>
          <rPr>
            <b/>
            <u/>
            <sz val="8"/>
            <color indexed="45"/>
            <rFont val="Tahoma"/>
            <family val="2"/>
          </rPr>
          <t>elektrisch</t>
        </r>
        <r>
          <rPr>
            <b/>
            <sz val="8"/>
            <color indexed="45"/>
            <rFont val="Tahoma"/>
            <family val="2"/>
          </rPr>
          <t xml:space="preserve"> wordt bedoeld een 100% elektrische wagen, de uitstoot is gelijk aan nul.
Met</t>
        </r>
        <r>
          <rPr>
            <b/>
            <u/>
            <sz val="8"/>
            <color indexed="45"/>
            <rFont val="Tahoma"/>
            <family val="2"/>
          </rPr>
          <t xml:space="preserve"> valse hybride wagens</t>
        </r>
        <r>
          <rPr>
            <b/>
            <sz val="8"/>
            <color indexed="45"/>
            <rFont val="Tahoma"/>
            <family val="2"/>
          </rPr>
          <t xml:space="preserve"> wordt bedoeld plug-in hybrides hetzij met een batterij met een energiecapaciteit van minder dan 0,5 kWh per 100 kilogram wagengewicht,  hetzij met een uitstoot van meer dan 50g/km.</t>
        </r>
      </text>
    </comment>
    <comment ref="I10" authorId="0" shapeId="0" xr:uid="{4E0E5DD3-C866-4BB8-9577-EB73EBA98408}">
      <text>
        <r>
          <rPr>
            <b/>
            <sz val="8"/>
            <color indexed="45"/>
            <rFont val="Tahoma"/>
            <family val="2"/>
          </rPr>
          <t>De waarde die u hier moet invullen is gelijk aan:
catalogusprijs exclusief btw + opties exclusief btw + werkelijk betaalde btw
Een door de constructeur of invoerder tijdelijk verlaagde catalogusprijs (of prijs optiepakket) geldt als berekeningsgrondslag voor het voordeel alle aard indien die (tijdelijke) prijs door de constructeur of invoerder ook daadwerkelijk wordt opgenomen als een nieuwe catalogusprijs in zijn prijslijsten en die verlaagde prijzen ook van toepassing zijn bij verkoop aan een particulier. Een korting gegeven door een lokale dealer mag evenwel niet in mindering van de catalogusprijs komen.  
Voorbeeld:
Catalogusprijs excl. btw: 25.000
Opties excl. btw: 2.500
Korting (lokale dealer): 1.500
Betaalde btw: 21% over (25.000+2.500-1.500) = 5.460
In te vullen waarde: 25.000+2.500+5.460=32.960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1EF085A7-4723-4972-AF9C-AA227684F426}">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6EF6D7BC-344F-4A92-A231-1FB9B7723721}">
      <text>
        <r>
          <rPr>
            <b/>
            <sz val="8"/>
            <color indexed="8"/>
            <rFont val="Tahoma"/>
            <family val="2"/>
          </rPr>
          <t>La rédaction veille à la fiabilité des informations lesquelles ne sauraient toutefois engager sa responsabilité.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I9" authorId="0" shapeId="0" xr:uid="{699412FF-C4F7-4EBE-AB05-04EFC2FBD8A2}">
      <text>
        <r>
          <rPr>
            <b/>
            <sz val="8"/>
            <color indexed="45"/>
            <rFont val="Tahoma"/>
            <family val="2"/>
          </rPr>
          <t>Pour les</t>
        </r>
        <r>
          <rPr>
            <b/>
            <u/>
            <sz val="8"/>
            <color indexed="45"/>
            <rFont val="Tahoma"/>
            <family val="2"/>
          </rPr>
          <t xml:space="preserve"> fausses hybrides</t>
        </r>
        <r>
          <rPr>
            <b/>
            <sz val="8"/>
            <color indexed="45"/>
            <rFont val="Tahoma"/>
            <family val="2"/>
          </rPr>
          <t xml:space="preserve"> achetées, commandées ou louées depuis le 1er janvier 2018 (signature du contrat/bon de commande), l'administration fiscale se basera sur les émissions de CO</t>
        </r>
        <r>
          <rPr>
            <b/>
            <vertAlign val="subscript"/>
            <sz val="8"/>
            <color indexed="45"/>
            <rFont val="Tahoma"/>
            <family val="2"/>
          </rPr>
          <t>2</t>
        </r>
        <r>
          <rPr>
            <b/>
            <sz val="8"/>
            <color indexed="45"/>
            <rFont val="Tahoma"/>
            <family val="2"/>
          </rPr>
          <t xml:space="preserve"> de l'équivalent non hybride pour déterminer les ATN voiture accordés depuis le 1er janvier 2020. 
S'il n'existe pas de modèle équivalent à propulsion conventionnelle, multipliez les émissions officielles de CO</t>
        </r>
        <r>
          <rPr>
            <b/>
            <vertAlign val="subscript"/>
            <sz val="8"/>
            <color indexed="45"/>
            <rFont val="Tahoma"/>
            <family val="2"/>
          </rPr>
          <t>2</t>
        </r>
        <r>
          <rPr>
            <b/>
            <sz val="8"/>
            <color indexed="45"/>
            <rFont val="Tahoma"/>
            <family val="2"/>
          </rPr>
          <t xml:space="preserve"> mentionnées sur le certificat d'immatriculation ou sur l'attestation de conformité de la fausse hybride par un facteur de 2,5.
Le terme </t>
        </r>
        <r>
          <rPr>
            <b/>
            <u/>
            <sz val="8"/>
            <color indexed="45"/>
            <rFont val="Tahoma"/>
            <family val="2"/>
          </rPr>
          <t>« électrique »</t>
        </r>
        <r>
          <rPr>
            <b/>
            <sz val="8"/>
            <color indexed="45"/>
            <rFont val="Tahoma"/>
            <family val="2"/>
          </rPr>
          <t xml:space="preserve"> désigne une voiture 100 % électrique.
Sont considérées comme de</t>
        </r>
        <r>
          <rPr>
            <b/>
            <u/>
            <sz val="8"/>
            <color indexed="45"/>
            <rFont val="Tahoma"/>
            <family val="2"/>
          </rPr>
          <t xml:space="preserve"> fausses hybrides</t>
        </r>
        <r>
          <rPr>
            <b/>
            <sz val="8"/>
            <color indexed="45"/>
            <rFont val="Tahoma"/>
            <family val="2"/>
          </rPr>
          <t xml:space="preserve"> : les hybrides rechargeables plug-in qui soit sont équipées d'une batterie à capacité énergétique de moins de 0,5 kWh par 100 kg de poids de la voiture, soit émettent plus de 50 g de CO2 par km.</t>
        </r>
      </text>
    </comment>
    <comment ref="I10" authorId="0" shapeId="0" xr:uid="{6057C3F7-BD2C-463D-AE74-C27EED43E09B}">
      <text>
        <r>
          <rPr>
            <b/>
            <sz val="8"/>
            <color indexed="45"/>
            <rFont val="Tahoma"/>
            <family val="2"/>
          </rPr>
          <t>La valeur que vous devez indiquer ici est égale au calcul suivant :
prix catalogue HTVA + options HTVA + TVA effectivement payée
Un prix catalogue (ou le prix d'un pack d'options) temporairement réduit par le fabricant ou l'importateur n'est pris en compte dans la base de calcul de l'avantage en nature que si ce prix (temporaire) est effectivement inclus par le fabricant ou l'importateur dans ses listes de prix en tant que nouveau prix catalogue,  et s'il s'applique également aux ventes à un particulier.
Une remise accordée par un concessionnaire local ne peut pas être déduite du prix catalogue.  
Exemple :
Prix catalogue HTVA : 25 000 €
Options HTVA : 2 500 €
Remise (concessionnaire local) : 1 500 €
TVA payée : 21 % × (25 000 € + 2 500 € - 1 500 €) = 5 460 €
→ valeur à remplir : 25 000 € + 2 500 € + 5 460 € = 32 960 €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<sst xmlns="http://schemas.openxmlformats.org/spreadsheetml/2006/main" count="637" uniqueCount="287">
  <si>
    <t>Ç</t>
  </si>
  <si>
    <t>i</t>
  </si>
  <si>
    <t>Å</t>
  </si>
  <si>
    <t>Æ</t>
  </si>
  <si>
    <t>Diesel</t>
  </si>
  <si>
    <t>Benzine</t>
  </si>
  <si>
    <t>Kies het brandstoftype:</t>
  </si>
  <si>
    <t>januari</t>
  </si>
  <si>
    <t>februari</t>
  </si>
  <si>
    <t>maart</t>
  </si>
  <si>
    <t>april</t>
  </si>
  <si>
    <t>mei</t>
  </si>
  <si>
    <t>juni</t>
  </si>
  <si>
    <t>juli</t>
  </si>
  <si>
    <t>augustus</t>
  </si>
  <si>
    <t>september</t>
  </si>
  <si>
    <t>oktober</t>
  </si>
  <si>
    <t>november</t>
  </si>
  <si>
    <t>december</t>
  </si>
  <si>
    <t>Procentueel voordeel:</t>
  </si>
  <si>
    <t>Referentie (merk van auto, nummerplaat, naam van bestuurder…)</t>
  </si>
  <si>
    <t>Elektrisch</t>
  </si>
  <si>
    <t>Neen</t>
  </si>
  <si>
    <t>LPG</t>
  </si>
  <si>
    <t>diesel</t>
  </si>
  <si>
    <t>benzine</t>
  </si>
  <si>
    <t>Kies het inkomstenjaar:</t>
  </si>
  <si>
    <t>Inkomstenjaar</t>
  </si>
  <si>
    <t>Aanpassing
per gram</t>
  </si>
  <si>
    <t>Gebrek aan uitstootgegevens</t>
  </si>
  <si>
    <t>Formule VAA</t>
  </si>
  <si>
    <t>Referentie (g/km)</t>
  </si>
  <si>
    <t>MIN</t>
  </si>
  <si>
    <t>Resultaat</t>
  </si>
  <si>
    <t>Nota van de redactie</t>
  </si>
  <si>
    <t>Rekentool</t>
  </si>
  <si>
    <t>Checklist</t>
  </si>
  <si>
    <r>
      <rPr>
        <b/>
        <sz val="10"/>
        <color rgb="FFFFFFFF"/>
        <rFont val="Wingdings 3"/>
        <family val="1"/>
        <charset val="2"/>
      </rPr>
      <t>}</t>
    </r>
    <r>
      <rPr>
        <b/>
        <sz val="10"/>
        <color rgb="FFFFFFFF"/>
        <rFont val="Tahoma"/>
        <family val="2"/>
      </rPr>
      <t xml:space="preserve"> Klik </t>
    </r>
    <r>
      <rPr>
        <b/>
        <u/>
        <sz val="10"/>
        <color rgb="FFFFFFFF"/>
        <rFont val="Tahoma"/>
        <family val="2"/>
      </rPr>
      <t>hier</t>
    </r>
  </si>
  <si>
    <t>Minimaal %</t>
  </si>
  <si>
    <t>Maximaal %</t>
  </si>
  <si>
    <t>Minimaal
voordeel</t>
  </si>
  <si>
    <t>Diesel hybride</t>
  </si>
  <si>
    <t>Diesel plug-in hybride</t>
  </si>
  <si>
    <t>Benzine hybride</t>
  </si>
  <si>
    <t>Benzine plug-in hybride</t>
  </si>
  <si>
    <t>CNG (Aardgas) minder dan 12 pk</t>
  </si>
  <si>
    <t>CNG (Aardgas) 12 pk of meer</t>
  </si>
  <si>
    <r>
      <t>CO</t>
    </r>
    <r>
      <rPr>
        <vertAlign val="subscript"/>
        <sz val="9"/>
        <rFont val="Source Sans Pro"/>
        <family val="2"/>
      </rPr>
      <t>2-</t>
    </r>
    <r>
      <rPr>
        <sz val="9"/>
        <rFont val="Source Sans Pro"/>
        <family val="2"/>
      </rPr>
      <t>%</t>
    </r>
  </si>
  <si>
    <t>VAA</t>
  </si>
  <si>
    <t>dagen</t>
  </si>
  <si>
    <t>leeftijd</t>
  </si>
  <si>
    <t>verjaardag</t>
  </si>
  <si>
    <t>jaar</t>
  </si>
  <si>
    <t>inkomstenjaar berekening VAA</t>
  </si>
  <si>
    <t>datum start VAA</t>
  </si>
  <si>
    <t>uitstoot</t>
  </si>
  <si>
    <t>cataloguswaarde</t>
  </si>
  <si>
    <t>datum einde VAA</t>
  </si>
  <si>
    <t>%</t>
  </si>
  <si>
    <t>leeftijd na VJD</t>
  </si>
  <si>
    <t>VAA Y1</t>
  </si>
  <si>
    <t>start</t>
  </si>
  <si>
    <t>stop</t>
  </si>
  <si>
    <t>tot VJD</t>
  </si>
  <si>
    <t>na VKD</t>
  </si>
  <si>
    <t>leeftijd tot VJD</t>
  </si>
  <si>
    <t>TOTAAL</t>
  </si>
  <si>
    <t>Vul de cataloguswaarde incl. opties en de betaalde btw maar zonder de korting in:</t>
  </si>
  <si>
    <t>Vul de begindatum van de terbeschikkingstelling van de auto in:</t>
  </si>
  <si>
    <t>Vul eventueel de einddatum van de terbeschikkingstelling in:</t>
  </si>
  <si>
    <t>Berekening van het belastbaar voordeel</t>
  </si>
  <si>
    <r>
      <t>Vul de CO</t>
    </r>
    <r>
      <rPr>
        <vertAlign val="subscript"/>
        <sz val="9"/>
        <rFont val="Tahoma"/>
        <family val="2"/>
      </rPr>
      <t>2</t>
    </r>
    <r>
      <rPr>
        <sz val="9"/>
        <rFont val="Tahoma"/>
        <family val="2"/>
      </rPr>
      <t>-uitstoot in (g/km):</t>
    </r>
  </si>
  <si>
    <t>VAA%</t>
  </si>
  <si>
    <t>Vul uw gegevens in in de turquoise velden</t>
  </si>
  <si>
    <t>START</t>
  </si>
  <si>
    <t>STOP</t>
  </si>
  <si>
    <t>na VJD</t>
  </si>
  <si>
    <t>% tot VJD</t>
  </si>
  <si>
    <t>% na VJD</t>
  </si>
  <si>
    <t>geen uitstootgegevens</t>
  </si>
  <si>
    <t>Berekening van het belastbaar voordeel per maand</t>
  </si>
  <si>
    <t>Maand</t>
  </si>
  <si>
    <t>Totaal</t>
  </si>
  <si>
    <t>Correctie ouderdom</t>
  </si>
  <si>
    <t>40% verworpen uitgaven in de vennootschap indien de brandstof betaald wordt door de vennootschap:</t>
  </si>
  <si>
    <t>17% verworpen uitgaven in de vennootschap indien de brandstof niet betaald wordt door de vennootschap:</t>
  </si>
  <si>
    <t>minium</t>
  </si>
  <si>
    <t>Aantal dagen</t>
  </si>
  <si>
    <t>Voordeel alle aard :</t>
  </si>
  <si>
    <t>Belastbaar voordeel alle aard :</t>
  </si>
  <si>
    <t>Cataloguswaarde</t>
  </si>
  <si>
    <t>Een door de constructeur of invoerder tijdelijk verlaagde catalogusprijs (of prijs optiepakket) geldt als berekeningsgrondslag voor het voordeel alle aard indien die (tijdelijke) prijs door de constructeur of invoerder ook daadwerkelijk opgenomen wordt als een nieuwe catalogusprijs in zijn prijslijsten en die verlaagde prijs ook van toepassing is bij verkoop aan een particulier. Een korting gegeven door een lokale dealer mag evenwel niet in mindering komen van de catalogusprijs.</t>
  </si>
  <si>
    <t>Het voordeel alle aard auto</t>
  </si>
  <si>
    <t>Voorbeeld</t>
  </si>
  <si>
    <t>Optie exclusief btw:</t>
  </si>
  <si>
    <t>Catalogusprijs exclusief btw:</t>
  </si>
  <si>
    <t>Korting van de dealer exclusief btw:</t>
  </si>
  <si>
    <t xml:space="preserve">De cataloguswaarde is dan </t>
  </si>
  <si>
    <t>Aankoopprijs exclusief btw</t>
  </si>
  <si>
    <r>
      <t>Naast de CO</t>
    </r>
    <r>
      <rPr>
        <vertAlign val="subscript"/>
        <sz val="9"/>
        <rFont val="Tahoma"/>
        <family val="2"/>
      </rPr>
      <t>2</t>
    </r>
    <r>
      <rPr>
        <sz val="9"/>
        <rFont val="Tahoma"/>
        <family val="2"/>
      </rPr>
      <t>-uitstoot houdt men ook rekening met de cataloguswaarde en de ouderdom van de auto om het voordeel van alle aard te berekenen.</t>
    </r>
  </si>
  <si>
    <t>Correctiefactor ouderdom auto</t>
  </si>
  <si>
    <t>0 tot 12 maanden</t>
  </si>
  <si>
    <t>13 tot 24 maanden</t>
  </si>
  <si>
    <t>25 tot 36 maanden</t>
  </si>
  <si>
    <t>37 tot 48 maanden</t>
  </si>
  <si>
    <t>49 tot 60 maanden</t>
  </si>
  <si>
    <t>vanaf 61 maanden</t>
  </si>
  <si>
    <r>
      <t>CO</t>
    </r>
    <r>
      <rPr>
        <vertAlign val="subscript"/>
        <sz val="9"/>
        <color theme="1"/>
        <rFont val="Tahoma"/>
        <family val="2"/>
      </rPr>
      <t>2</t>
    </r>
    <r>
      <rPr>
        <sz val="9"/>
        <color theme="1"/>
        <rFont val="Tahoma"/>
        <family val="2"/>
      </rPr>
      <t>-percentage:</t>
    </r>
  </si>
  <si>
    <r>
      <t>Formule CO</t>
    </r>
    <r>
      <rPr>
        <b/>
        <vertAlign val="subscript"/>
        <sz val="9"/>
        <color rgb="FF4B0082"/>
        <rFont val="Tahoma"/>
        <family val="2"/>
      </rPr>
      <t>2</t>
    </r>
    <r>
      <rPr>
        <b/>
        <sz val="9"/>
        <color rgb="FF4B0082"/>
        <rFont val="Tahoma"/>
        <family val="2"/>
      </rPr>
      <t>-percentage</t>
    </r>
  </si>
  <si>
    <t>Referentie uitstoot (g/km)</t>
  </si>
  <si>
    <r>
      <t>Voor plug-inhybrides – gekocht, besteld of geleased vanaf 1 januari 2018 – uitgerust met een elektrische batterij die een energiecapaciteit heeft van minder dan 0,5 kWh per 100 kilogram van het wagengewicht of een uitstoot heeft van meer dan 50 gram CO</t>
    </r>
    <r>
      <rPr>
        <vertAlign val="subscript"/>
        <sz val="8"/>
        <color theme="1"/>
        <rFont val="Tahoma"/>
        <family val="2"/>
      </rPr>
      <t>2</t>
    </r>
    <r>
      <rPr>
        <sz val="8"/>
        <color theme="1"/>
        <rFont val="Tahoma"/>
        <family val="2"/>
      </rPr>
      <t xml:space="preserve"> per kilometer, is voor het vaststellen van het voordeel alle aard toegekend vanaf 1 januari 2020 het in aanmerking te nemen CO</t>
    </r>
    <r>
      <rPr>
        <vertAlign val="subscript"/>
        <sz val="8"/>
        <color theme="1"/>
        <rFont val="Tahoma"/>
        <family val="2"/>
      </rPr>
      <t>2</t>
    </r>
    <r>
      <rPr>
        <sz val="8"/>
        <color theme="1"/>
        <rFont val="Tahoma"/>
        <family val="2"/>
      </rPr>
      <t>-uitstootgehalte gelijk aan dit van het overeenstemmende voertuig dat uitsluitend voorzien is van een motor die gebruikmaakt van dezelfde brandstof (lijst gepubliceerd op de website van FOD Financiën). Indien er geen overeenstemmend voertuig bestaat dat uitsluitend voorzien is van een motor die gebruikmaakt van dezelfde brandstof, dan wordt de uitstootwaarde vermenigvuldigd met 2,5.</t>
    </r>
  </si>
  <si>
    <t>Berekening voordeel alle aard auto</t>
  </si>
  <si>
    <r>
      <t>[(</t>
    </r>
    <r>
      <rPr>
        <b/>
        <sz val="9"/>
        <color theme="5"/>
        <rFont val="Tahoma"/>
        <family val="2"/>
      </rPr>
      <t>CO</t>
    </r>
    <r>
      <rPr>
        <b/>
        <vertAlign val="subscript"/>
        <sz val="9"/>
        <color theme="5"/>
        <rFont val="Tahoma"/>
        <family val="2"/>
      </rPr>
      <t>2</t>
    </r>
    <r>
      <rPr>
        <b/>
        <sz val="9"/>
        <color theme="5"/>
        <rFont val="Tahoma"/>
        <family val="2"/>
      </rPr>
      <t>-uitstoot</t>
    </r>
    <r>
      <rPr>
        <sz val="9"/>
        <color theme="1"/>
        <rFont val="Tahoma"/>
        <family val="2"/>
      </rPr>
      <t xml:space="preserve"> - </t>
    </r>
    <r>
      <rPr>
        <b/>
        <sz val="9"/>
        <color theme="5"/>
        <rFont val="Tahoma"/>
        <family val="2"/>
      </rPr>
      <t>referentie-uitstoot</t>
    </r>
    <r>
      <rPr>
        <sz val="9"/>
        <color theme="1"/>
        <rFont val="Tahoma"/>
        <family val="2"/>
      </rPr>
      <t>) x 0,1%] + 5,5%</t>
    </r>
  </si>
  <si>
    <t>Aantal maanden sinds de eerste inschrijving van het voertuig</t>
  </si>
  <si>
    <r>
      <rPr>
        <b/>
        <sz val="10"/>
        <color rgb="FFFFFFFF"/>
        <rFont val="Wingdings 3"/>
        <family val="1"/>
        <charset val="2"/>
      </rPr>
      <t>}</t>
    </r>
    <r>
      <rPr>
        <b/>
        <sz val="10"/>
        <color rgb="FFFFFFFF"/>
        <rFont val="Tahoma"/>
        <family val="2"/>
      </rPr>
      <t xml:space="preserve"> </t>
    </r>
    <r>
      <rPr>
        <b/>
        <u/>
        <sz val="10"/>
        <color rgb="FFFFFFFF"/>
        <rFont val="Tahoma"/>
        <family val="2"/>
      </rPr>
      <t>Klik hier</t>
    </r>
  </si>
  <si>
    <t>Personaliseer uw berekeningen! De filenaam waarmee u de tool bewaart, verschijnt in de header van de geprinte versie.</t>
  </si>
  <si>
    <t>Open de checklists met Adobe Acrobat Reader om ze optimaal te kunnen gebruiken.</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</si>
  <si>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</si>
  <si>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</si>
  <si>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</si>
  <si>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</si>
  <si>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</si>
  <si>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</si>
  <si>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</si>
  <si>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</si>
  <si>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</si>
  <si>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</si>
  <si>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</si>
  <si>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</si>
  <si>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</si>
  <si>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</si>
  <si>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</si>
  <si>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</si>
  <si>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</si>
  <si>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</si>
  <si>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</si>
  <si>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Nieuwe zaken voor taalcheck/vertaling?</t>
  </si>
  <si>
    <t>Inhoudelijke info voor de redactie?</t>
  </si>
  <si>
    <t>Update naar xlsx?</t>
  </si>
  <si>
    <t>Opmerkingen</t>
  </si>
  <si>
    <t xml:space="preserve">Geen taalcheck nodig. </t>
  </si>
  <si>
    <t>WA</t>
  </si>
  <si>
    <t>BASIC</t>
  </si>
  <si>
    <t>Bij gebrek aan uitstootgegevens gaat men uit van 205 g/km voor diesels en van 195 g/km voor auto's met een benzinemotor (incl. lpg en cng).</t>
  </si>
  <si>
    <r>
      <rPr>
        <b/>
        <sz val="10"/>
        <color rgb="FFFFFFFF"/>
        <rFont val="Wingdings 3"/>
        <family val="1"/>
        <charset val="2"/>
      </rPr>
      <t>}</t>
    </r>
    <r>
      <rPr>
        <b/>
        <sz val="10"/>
        <color rgb="FFFFFFFF"/>
        <rFont val="Tahoma"/>
        <family val="2"/>
      </rPr>
      <t xml:space="preserve"> Auto voor </t>
    </r>
    <r>
      <rPr>
        <b/>
        <u/>
        <sz val="10"/>
        <color rgb="FFFFFFFF"/>
        <rFont val="Tahoma"/>
        <family val="2"/>
      </rPr>
      <t>personeel</t>
    </r>
  </si>
  <si>
    <r>
      <rPr>
        <b/>
        <sz val="10"/>
        <color rgb="FFFFFFFF"/>
        <rFont val="Wingdings 3"/>
        <family val="1"/>
        <charset val="2"/>
      </rPr>
      <t>}</t>
    </r>
    <r>
      <rPr>
        <b/>
        <sz val="10"/>
        <color rgb="FFFFFFFF"/>
        <rFont val="Tahoma"/>
        <family val="2"/>
      </rPr>
      <t xml:space="preserve"> Auto </t>
    </r>
    <r>
      <rPr>
        <b/>
        <u/>
        <sz val="10"/>
        <color rgb="FFFFFFFF"/>
        <rFont val="Tahoma"/>
        <family val="2"/>
      </rPr>
      <t>bedrijfsleider</t>
    </r>
  </si>
  <si>
    <r>
      <rPr>
        <b/>
        <sz val="10"/>
        <color rgb="FFFFFFFF"/>
        <rFont val="Wingdings 3"/>
        <family val="1"/>
        <charset val="2"/>
      </rPr>
      <t>}</t>
    </r>
    <r>
      <rPr>
        <b/>
        <sz val="10"/>
        <color rgb="FFFFFFFF"/>
        <rFont val="Tahoma"/>
        <family val="1"/>
        <charset val="2"/>
      </rPr>
      <t xml:space="preserve"> Voiture </t>
    </r>
    <r>
      <rPr>
        <b/>
        <u/>
        <sz val="10"/>
        <color rgb="FFFFFFFF"/>
        <rFont val="Tahoma"/>
        <family val="2"/>
      </rPr>
      <t>personnel</t>
    </r>
  </si>
  <si>
    <r>
      <rPr>
        <b/>
        <sz val="10"/>
        <color rgb="FFFFFFFF"/>
        <rFont val="Wingdings 3"/>
        <family val="1"/>
        <charset val="2"/>
      </rPr>
      <t>}</t>
    </r>
    <r>
      <rPr>
        <b/>
        <sz val="10"/>
        <color rgb="FFFFFFFF"/>
        <rFont val="Tahoma"/>
        <family val="1"/>
        <charset val="2"/>
      </rPr>
      <t xml:space="preserve"> Voiture </t>
    </r>
    <r>
      <rPr>
        <b/>
        <u/>
        <sz val="10"/>
        <color rgb="FFFFFFFF"/>
        <rFont val="Tahoma"/>
        <family val="2"/>
      </rPr>
      <t>dirigeant</t>
    </r>
  </si>
  <si>
    <t>Règles relatives à l'avantage voiture</t>
  </si>
  <si>
    <t>Formule de l'ATN</t>
  </si>
  <si>
    <t>Avantage toute nature :</t>
  </si>
  <si>
    <r>
      <t>Pour calculer le montant de l'avantage, en plus des émissions de CO</t>
    </r>
    <r>
      <rPr>
        <vertAlign val="subscript"/>
        <sz val="9"/>
        <rFont val="Tahoma"/>
        <family val="2"/>
      </rPr>
      <t>2</t>
    </r>
    <r>
      <rPr>
        <sz val="9"/>
        <rFont val="Tahoma"/>
        <family val="2"/>
      </rPr>
      <t>, on tient également compte de la valeur catalogue et de l'ancienneté du véhicule. Vous trouverez ici un aperçu schématique des règles applicables.</t>
    </r>
  </si>
  <si>
    <t>ATN imposable :</t>
  </si>
  <si>
    <r>
      <rPr>
        <b/>
        <sz val="9"/>
        <color theme="5"/>
        <rFont val="Tahoma"/>
        <family val="2"/>
      </rPr>
      <t>cataloguswaarde</t>
    </r>
    <r>
      <rPr>
        <sz val="9"/>
        <color theme="1"/>
        <rFont val="Tahoma"/>
        <family val="2"/>
      </rPr>
      <t xml:space="preserve"> x </t>
    </r>
    <r>
      <rPr>
        <b/>
        <sz val="9"/>
        <color theme="5"/>
        <rFont val="Tahoma"/>
        <family val="2"/>
      </rPr>
      <t>correctiefactor ouderdom auto</t>
    </r>
    <r>
      <rPr>
        <sz val="9"/>
        <color theme="1"/>
        <rFont val="Tahoma"/>
        <family val="2"/>
      </rPr>
      <t xml:space="preserve"> x </t>
    </r>
    <r>
      <rPr>
        <b/>
        <sz val="9"/>
        <color theme="5"/>
        <rFont val="Tahoma"/>
        <family val="2"/>
      </rPr>
      <t>CO</t>
    </r>
    <r>
      <rPr>
        <b/>
        <vertAlign val="subscript"/>
        <sz val="9"/>
        <color theme="5"/>
        <rFont val="Tahoma"/>
        <family val="2"/>
      </rPr>
      <t>2-</t>
    </r>
    <r>
      <rPr>
        <b/>
        <sz val="9"/>
        <color theme="5"/>
        <rFont val="Tahoma"/>
        <family val="2"/>
      </rPr>
      <t>percentage</t>
    </r>
    <r>
      <rPr>
        <sz val="9"/>
        <color theme="1"/>
        <rFont val="Tahoma"/>
        <family val="2"/>
      </rPr>
      <t xml:space="preserve"> x 6/7</t>
    </r>
  </si>
  <si>
    <r>
      <rPr>
        <sz val="9"/>
        <rFont val="Tahoma"/>
        <family val="2"/>
      </rPr>
      <t>(</t>
    </r>
    <r>
      <rPr>
        <b/>
        <sz val="9"/>
        <color theme="5"/>
        <rFont val="Tahoma"/>
        <family val="2"/>
      </rPr>
      <t>cataloguswaarde</t>
    </r>
    <r>
      <rPr>
        <sz val="9"/>
        <color theme="1"/>
        <rFont val="Tahoma"/>
        <family val="2"/>
      </rPr>
      <t xml:space="preserve"> x </t>
    </r>
    <r>
      <rPr>
        <b/>
        <sz val="9"/>
        <color theme="5"/>
        <rFont val="Tahoma"/>
        <family val="2"/>
      </rPr>
      <t>correctiefactor ouderdom auto</t>
    </r>
    <r>
      <rPr>
        <sz val="9"/>
        <color theme="1"/>
        <rFont val="Tahoma"/>
        <family val="2"/>
      </rPr>
      <t xml:space="preserve"> x </t>
    </r>
    <r>
      <rPr>
        <b/>
        <sz val="9"/>
        <color theme="5"/>
        <rFont val="Tahoma"/>
        <family val="2"/>
      </rPr>
      <t>CO</t>
    </r>
    <r>
      <rPr>
        <b/>
        <vertAlign val="subscript"/>
        <sz val="9"/>
        <color theme="5"/>
        <rFont val="Tahoma"/>
        <family val="2"/>
      </rPr>
      <t>2-</t>
    </r>
    <r>
      <rPr>
        <b/>
        <sz val="9"/>
        <color theme="5"/>
        <rFont val="Tahoma"/>
        <family val="2"/>
      </rPr>
      <t>percentage</t>
    </r>
    <r>
      <rPr>
        <sz val="9"/>
        <color theme="1"/>
        <rFont val="Tahoma"/>
        <family val="2"/>
      </rPr>
      <t xml:space="preserve"> x 6/7) - eigen bijdrage</t>
    </r>
  </si>
  <si>
    <t>Valeur catalogue</t>
  </si>
  <si>
    <t xml:space="preserve">De cataloguswaarde is gelijk aan catalogusprijs exclusief btw + opties exclusief btw  + werkelijk betaalde btw </t>
  </si>
  <si>
    <t>Un prix catalogue (ou le prix d'un pack d'options) temporairement réduit par le fabricant ou l'importateur ne peut servir de base au calcul de l'avantage de toute nature que si ce prix (temporaire) est effectivement inclus par le fabricant ou l'importateur dans ses listes de prix en tant que nouveau prix catalogue, et si ce prix réduit s'applique également aux ventes à un particulier. Une remise accordée par un concessionnaire local ne peut pas être déduite du prix catalogue.</t>
  </si>
  <si>
    <t>La valeur catalogue est alors de :</t>
  </si>
  <si>
    <t>21% TVA :</t>
  </si>
  <si>
    <t>Correction ancienneté véhicule</t>
  </si>
  <si>
    <r>
      <t>Formule pourcentage CO</t>
    </r>
    <r>
      <rPr>
        <b/>
        <vertAlign val="subscript"/>
        <sz val="9"/>
        <color rgb="FF4B0082"/>
        <rFont val="Tahoma"/>
        <family val="2"/>
      </rPr>
      <t>2</t>
    </r>
  </si>
  <si>
    <t>met een minimum van 4% en een maximum van 18%</t>
  </si>
  <si>
    <t>Année de revenus</t>
  </si>
  <si>
    <t>essence</t>
  </si>
  <si>
    <t>Absence de données d'émissions</t>
  </si>
  <si>
    <t>Référence (g/km)</t>
  </si>
  <si>
    <t>En l'absence de données sur les émissions, on fixe celles-ci à 205 g/km pour les moteurs diesel et à 195 g/km pour les moteurs à essence (y compris GPL et GNC).</t>
  </si>
  <si>
    <t>Calcul de l'avantage voiture</t>
  </si>
  <si>
    <t>Complétez les cases turquoise</t>
  </si>
  <si>
    <t>Choisissez l'année de revenus :</t>
  </si>
  <si>
    <t>Choisissez le type de carburant :</t>
  </si>
  <si>
    <t>Indiquez la valeur catalogue (options et TVA payée incluses, mais sans la réduction) :</t>
  </si>
  <si>
    <t>Calcul de l'avantage de toute nature</t>
  </si>
  <si>
    <t>Calcul de l'avantage de toute nature mensuel</t>
  </si>
  <si>
    <t>Mois</t>
  </si>
  <si>
    <t>Nombre de jours</t>
  </si>
  <si>
    <t>Correction ancienneté</t>
  </si>
  <si>
    <t>Montant</t>
  </si>
  <si>
    <t>janvier</t>
  </si>
  <si>
    <t>février</t>
  </si>
  <si>
    <t>mars</t>
  </si>
  <si>
    <t>avril</t>
  </si>
  <si>
    <t>juin</t>
  </si>
  <si>
    <t>juillet</t>
  </si>
  <si>
    <t>août</t>
  </si>
  <si>
    <t>septembre</t>
  </si>
  <si>
    <t>octobre</t>
  </si>
  <si>
    <t>novembre</t>
  </si>
  <si>
    <t>décembre</t>
  </si>
  <si>
    <t>Total</t>
  </si>
  <si>
    <t>Résultat</t>
  </si>
  <si>
    <t>Essence</t>
  </si>
  <si>
    <t>Essence hybride</t>
  </si>
  <si>
    <t>Essence plug-in hybride</t>
  </si>
  <si>
    <t>Électrique</t>
  </si>
  <si>
    <t>CNG (gaz naturel) moins de 12 cv</t>
  </si>
  <si>
    <t>CNG (gaz naturel) 12 cv ou plus</t>
  </si>
  <si>
    <r>
      <rPr>
        <b/>
        <sz val="9"/>
        <color theme="5"/>
        <rFont val="Tahoma"/>
        <family val="2"/>
      </rPr>
      <t>valeur catalogue</t>
    </r>
    <r>
      <rPr>
        <sz val="9"/>
        <color theme="1"/>
        <rFont val="Tahoma"/>
        <family val="2"/>
      </rPr>
      <t xml:space="preserve"> × </t>
    </r>
    <r>
      <rPr>
        <b/>
        <sz val="9"/>
        <color theme="5"/>
        <rFont val="Tahoma"/>
        <family val="2"/>
      </rPr>
      <t>correction ancienneté véhicule</t>
    </r>
    <r>
      <rPr>
        <sz val="9"/>
        <color theme="1"/>
        <rFont val="Tahoma"/>
        <family val="2"/>
      </rPr>
      <t xml:space="preserve"> × </t>
    </r>
    <r>
      <rPr>
        <b/>
        <sz val="9"/>
        <color theme="5"/>
        <rFont val="Tahoma"/>
        <family val="2"/>
      </rPr>
      <t>pourcentage CO</t>
    </r>
    <r>
      <rPr>
        <b/>
        <vertAlign val="subscript"/>
        <sz val="9"/>
        <color theme="5"/>
        <rFont val="Tahoma"/>
        <family val="2"/>
      </rPr>
      <t>2</t>
    </r>
    <r>
      <rPr>
        <sz val="9"/>
        <color theme="1"/>
        <rFont val="Tahoma"/>
        <family val="2"/>
      </rPr>
      <t xml:space="preserve"> × 6/7 :</t>
    </r>
  </si>
  <si>
    <r>
      <rPr>
        <sz val="9"/>
        <rFont val="Tahoma"/>
        <family val="2"/>
      </rPr>
      <t>(</t>
    </r>
    <r>
      <rPr>
        <b/>
        <sz val="9"/>
        <color theme="5"/>
        <rFont val="Tahoma"/>
        <family val="2"/>
      </rPr>
      <t>valeur catalogue</t>
    </r>
    <r>
      <rPr>
        <sz val="9"/>
        <color theme="1"/>
        <rFont val="Tahoma"/>
        <family val="2"/>
      </rPr>
      <t xml:space="preserve"> × </t>
    </r>
    <r>
      <rPr>
        <b/>
        <sz val="9"/>
        <color theme="5"/>
        <rFont val="Tahoma"/>
        <family val="2"/>
      </rPr>
      <t>correction ancienneté véhicule</t>
    </r>
    <r>
      <rPr>
        <sz val="9"/>
        <color theme="1"/>
        <rFont val="Tahoma"/>
        <family val="2"/>
      </rPr>
      <t xml:space="preserve"> × </t>
    </r>
    <r>
      <rPr>
        <b/>
        <sz val="9"/>
        <color theme="5"/>
        <rFont val="Tahoma"/>
        <family val="2"/>
      </rPr>
      <t>pourcentage CO</t>
    </r>
    <r>
      <rPr>
        <b/>
        <vertAlign val="subscript"/>
        <sz val="9"/>
        <color theme="5"/>
        <rFont val="Tahoma"/>
        <family val="2"/>
      </rPr>
      <t>2</t>
    </r>
    <r>
      <rPr>
        <sz val="9"/>
        <color theme="1"/>
        <rFont val="Tahoma"/>
        <family val="2"/>
      </rPr>
      <t xml:space="preserve"> × 6/7) - contribution personnelle</t>
    </r>
  </si>
  <si>
    <t>La valeur catalogue correpsond au prix catalogue HTVA (*) + options HTVA + TVA réellement payée</t>
  </si>
  <si>
    <t>Exemple</t>
  </si>
  <si>
    <t>Prix catalogue HTVA :</t>
  </si>
  <si>
    <t>Options HTVA :</t>
  </si>
  <si>
    <t>Réduction (concessionnaire) HTVA :</t>
  </si>
  <si>
    <t>Prix d'achat HTVA :</t>
  </si>
  <si>
    <t>Nombre de mois écoulés depuis la première inscription du véhicule</t>
  </si>
  <si>
    <t>L' ATN est diminué de 6 % par année d'ancienneté, avec un maximum de 30 %. Un mois entamé compte pour un mois complet.</t>
  </si>
  <si>
    <t>0 à 12 mois</t>
  </si>
  <si>
    <t>100 %</t>
  </si>
  <si>
    <t>13 à 24 mois</t>
  </si>
  <si>
    <t>94 %</t>
  </si>
  <si>
    <t>25 à 36 mois</t>
  </si>
  <si>
    <t>88 %</t>
  </si>
  <si>
    <t>37 à 48 mois</t>
  </si>
  <si>
    <t>82 %</t>
  </si>
  <si>
    <t>49 à 60 mois</t>
  </si>
  <si>
    <t>76 %</t>
  </si>
  <si>
    <t>à partir de 61 mois</t>
  </si>
  <si>
    <t>70 %</t>
  </si>
  <si>
    <r>
      <t>Pourcentage CO</t>
    </r>
    <r>
      <rPr>
        <vertAlign val="subscript"/>
        <sz val="9"/>
        <color theme="1"/>
        <rFont val="Tahoma"/>
        <family val="2"/>
      </rPr>
      <t>2</t>
    </r>
    <r>
      <rPr>
        <sz val="9"/>
        <color theme="1"/>
        <rFont val="Tahoma"/>
        <family val="2"/>
      </rPr>
      <t xml:space="preserve"> :</t>
    </r>
  </si>
  <si>
    <r>
      <t>[(</t>
    </r>
    <r>
      <rPr>
        <b/>
        <sz val="9"/>
        <color theme="5"/>
        <rFont val="Tahoma"/>
        <family val="2"/>
      </rPr>
      <t>émissions de CO</t>
    </r>
    <r>
      <rPr>
        <b/>
        <vertAlign val="subscript"/>
        <sz val="9"/>
        <color theme="5"/>
        <rFont val="Tahoma"/>
        <family val="2"/>
      </rPr>
      <t>2</t>
    </r>
    <r>
      <rPr>
        <b/>
        <sz val="9"/>
        <color theme="5"/>
        <rFont val="Tahoma"/>
        <family val="2"/>
      </rPr>
      <t xml:space="preserve"> - référence émissions CO</t>
    </r>
    <r>
      <rPr>
        <b/>
        <vertAlign val="subscript"/>
        <sz val="9"/>
        <color theme="5"/>
        <rFont val="Tahoma"/>
        <family val="2"/>
      </rPr>
      <t>2</t>
    </r>
    <r>
      <rPr>
        <sz val="9"/>
        <color theme="1"/>
        <rFont val="Tahoma"/>
        <family val="2"/>
      </rPr>
      <t>) × 0,1 %] + 5,5 %</t>
    </r>
  </si>
  <si>
    <t>minimum 4 % et maximum 18 %</t>
  </si>
  <si>
    <t>% minimal</t>
  </si>
  <si>
    <t>% maximal</t>
  </si>
  <si>
    <t>Avantage minimal</t>
  </si>
  <si>
    <t>Pour les plug-in hybrides rechargeables – achetées, commandées ou louées depuis le 1er janvier 2018 – qui sont équipées d'une batterie électrique d'une capacité énergétique inférieure à 0,5 kWh par 100 kg de poids de la voiture, ou dont les émissions de CO2 sont supérieures à 50 g/km, les émissions de CO2 à prendre en compte pour déterminer le montant de l'avantage de toute nature sont, depuis le 1er janvier 2020, celles du véhicule équivalent équipé exclusivement d'un moteur thermique utilisant un seul carburant (liste publiée sur le site du SPF Finances). S'il n'y a pas de véhicule équivalent, la valeur des émissions est multipliée par 2,5.</t>
  </si>
  <si>
    <t>Référence (marque, numéro de plaque, nom du conducteur, etc.) :</t>
  </si>
  <si>
    <t>Indiquez la date de début de la mise à disposition du véhicule à des fins privées :</t>
  </si>
  <si>
    <t>Indiquez éventuellement la date de fin de la mise à disposition du véhicule à des fins privées :</t>
  </si>
  <si>
    <t>Avantage en pourcentage :</t>
  </si>
  <si>
    <t>mai</t>
  </si>
  <si>
    <t>ATN sur fiche (après déduction de la contribution personnelle) :</t>
  </si>
  <si>
    <t>40 % de dépenses non admises pour la société si les frais de carburant sont payés par la société :</t>
  </si>
  <si>
    <t>17 % de dépenses non admises pour la société si les frais de carburant ne sont pas payés par la société :</t>
  </si>
  <si>
    <r>
      <t>Indiquez les émissions de CO</t>
    </r>
    <r>
      <rPr>
        <vertAlign val="subscript"/>
        <sz val="9"/>
        <rFont val="Tahoma"/>
        <family val="2"/>
      </rPr>
      <t xml:space="preserve">2 </t>
    </r>
    <r>
      <rPr>
        <sz val="9"/>
        <rFont val="Tahoma"/>
        <family val="2"/>
      </rPr>
      <t>(g/km) :</t>
    </r>
  </si>
  <si>
    <t>21% btw</t>
  </si>
  <si>
    <t>Voordeel alle aard op fiche (na aftrek van de eigen bijdrage):</t>
  </si>
  <si>
    <r>
      <t xml:space="preserve">Vul eventueel de eigen </t>
    </r>
    <r>
      <rPr>
        <u/>
        <sz val="9"/>
        <rFont val="Tahoma"/>
        <family val="2"/>
      </rPr>
      <t>maandelijkse</t>
    </r>
    <r>
      <rPr>
        <sz val="9"/>
        <rFont val="Tahoma"/>
        <family val="2"/>
      </rPr>
      <t xml:space="preserve"> bijdrage voor het privégebruik in:</t>
    </r>
  </si>
  <si>
    <t>eigen bijdrage</t>
  </si>
  <si>
    <t>Eigen bijdrage</t>
  </si>
  <si>
    <r>
      <t xml:space="preserve">Het </t>
    </r>
    <r>
      <rPr>
        <u/>
        <sz val="9"/>
        <rFont val="Tahoma"/>
        <family val="2"/>
      </rPr>
      <t>jaarlijks</t>
    </r>
    <r>
      <rPr>
        <sz val="9"/>
        <rFont val="Tahoma"/>
        <family val="2"/>
      </rPr>
      <t xml:space="preserve"> voordeel alle aard </t>
    </r>
    <r>
      <rPr>
        <u/>
        <sz val="9"/>
        <rFont val="Tahoma"/>
        <family val="2"/>
      </rPr>
      <t>zonder correctie voor ouderdom</t>
    </r>
    <r>
      <rPr>
        <sz val="9"/>
        <rFont val="Tahoma"/>
        <family val="2"/>
      </rPr>
      <t xml:space="preserve"> (catalogusprijs x procentueel voordeel x 6/7):</t>
    </r>
  </si>
  <si>
    <t>Belastbaar</t>
  </si>
  <si>
    <t>ATN</t>
  </si>
  <si>
    <t>cotisation personelle</t>
  </si>
  <si>
    <t>Indiquez éventuellement la cotisation personnelle mensuelle pour usage privé :</t>
  </si>
  <si>
    <r>
      <t xml:space="preserve">ATN </t>
    </r>
    <r>
      <rPr>
        <u/>
        <sz val="9"/>
        <rFont val="Tahoma"/>
        <family val="2"/>
      </rPr>
      <t>annuel</t>
    </r>
    <r>
      <rPr>
        <sz val="9"/>
        <rFont val="Tahoma"/>
        <family val="2"/>
      </rPr>
      <t xml:space="preserve"> </t>
    </r>
    <r>
      <rPr>
        <u/>
        <sz val="9"/>
        <rFont val="Tahoma"/>
        <family val="2"/>
      </rPr>
      <t>sans correction ancienneté</t>
    </r>
    <r>
      <rPr>
        <sz val="9"/>
        <rFont val="Tahoma"/>
        <family val="2"/>
      </rPr>
      <t xml:space="preserve"> (valeur catalogue × pourcentage CO</t>
    </r>
    <r>
      <rPr>
        <vertAlign val="subscript"/>
        <sz val="9"/>
        <rFont val="Tahoma"/>
        <family val="2"/>
      </rPr>
      <t xml:space="preserve">2 </t>
    </r>
    <r>
      <rPr>
        <sz val="9"/>
        <rFont val="Tahoma"/>
        <family val="2"/>
      </rPr>
      <t>× 6/7) :</t>
    </r>
  </si>
  <si>
    <t>Het voordeel alle aard wordt verminderd met 6% per leeftijdsjaar met een maximum van 30%. Een begonnen maand telt als volledige maand.</t>
  </si>
  <si>
    <t/>
  </si>
  <si>
    <t>'</t>
  </si>
  <si>
    <t>datum inschrijving</t>
  </si>
  <si>
    <t>Indiquez la date de la première inscription à la DIV :</t>
  </si>
  <si>
    <t>Vul de datum van de eerste inschrijving bij de DIV in:</t>
  </si>
  <si>
    <t>stijging VAA 2025 tov 2024 voor auto van 50,000 eur minder dan 5 jaar oud</t>
  </si>
  <si>
    <t>(stel minimum 2025 = 1700)</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</si>
  <si>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</si>
  <si>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</si>
  <si>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Lefebvre Sarrut Belgium NV | Hoogstraat 139 - Bus 6 | 1000 Brussel | T 0800 39 067</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</si>
  <si>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</si>
  <si>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</si>
  <si>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Voordeel alle aard auto - inkomstenjaar 2025</t>
  </si>
  <si>
    <t>Voordeel alle aard auto - inkomstenjaar 2025.xlsx</t>
  </si>
  <si>
    <t>Avantage voiture - année de revenus 2025</t>
  </si>
  <si>
    <t>Avantage voiture - année de revenus 2025.xlsx</t>
  </si>
  <si>
    <t>tarief 2025 toegevoegd</t>
  </si>
  <si>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</si>
  <si>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</si>
  <si>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</si>
  <si>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</si>
  <si>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Lefebvre Sarrut Belgium SA | Rue Haute 139 - Boite 6 | 1000 Bruxelles | T 0800 39 067 </t>
  </si>
  <si>
    <t xml:space="preserve">Naast de CO2-uitstoot houdt men ook rekening met de cataloguswaarde en de ouderdom van de auto om het voordeel alle aard te berekenen.
Gebruik deze rekentool om na te gaan hoeveel het voordeel gratis auto bedraagt voor de jaren 2022 tot 2025. We berekenen de bedragen per maand.
		</t>
  </si>
  <si>
    <t>Pour le calcul de l'avantage de toute nature voiture, il faut prendre en compte non seulement les émissions de CO2, mais aussi la valeur catalogue du véhicule. 
Utilisez cet outil de calcul pour vérifier le montant de votre avantage voiture de société pour les années 2022 à 2025. Nous calculons les montants mensuels.</t>
  </si>
  <si>
    <t>Avantage de toute nature voiture 2025</t>
  </si>
  <si>
    <t>verbeterd 31/1/2025</t>
  </si>
  <si>
    <t>Voordeel alle aard auto 2026</t>
  </si>
  <si>
    <t>Berekening voordeel alle aard auto 2026</t>
  </si>
  <si>
    <t>Avantage de toute nature voiture 2026</t>
  </si>
  <si>
    <t>Calcul de l'avantage voiture 2026</t>
  </si>
  <si>
    <t>staat nu in de cloud</t>
  </si>
  <si>
    <t>2023 vervangen door 2026</t>
  </si>
  <si>
    <t>Voordeel alle aard auto - inkomstenjaar 2026</t>
  </si>
  <si>
    <t>Voordeel alle aard auto - inkomstenjaar 2026.xlsx</t>
  </si>
  <si>
    <t>Avantage voiture - année de revenus 2026</t>
  </si>
  <si>
    <t>Avantage voiture - année de revenus 2026.xlsx</t>
  </si>
  <si>
    <t>tarief 2026 toegevoegd</t>
  </si>
  <si>
    <t>neen</t>
  </si>
  <si>
    <t>Lefebvre Belgium NV | Avenue Jean Monnet 4 | 1348 Louvain-la-Neuve | T 0800 39 067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</si>
</sst>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0\ [$€-813]"/>
    <numFmt numFmtId="166" formatCode="0.0%"/>
    <numFmt numFmtId="167" formatCode="[$€-2]\ #,##0"/>
    <numFmt numFmtId="168" formatCode="_ * #,##0_ ;_ * \-#,##0_ ;_ * &quot;-&quot;??_ ;_ @_ "/>
    <numFmt numFmtId="169" formatCode="&quot;€&quot;\ #,##0.00"/>
    <numFmt numFmtId="170" formatCode="&quot;Redactioneel bijgewerkt tot&quot;\ dd\.mm\.yyyy"/>
    <numFmt numFmtId="171" formatCode="&quot;À jour au&quot;\ dd\.mm\.yyyy"/>
    <numFmt numFmtId="172" formatCode="[$€-813]\ #,##0.00"/>
  </numFmts>
  <fonts count="107">
    <font>
      <sz val="9"/>
      <color indexed="8"/>
      <name val="Tahoma"/>
      <family val="2"/>
    </font>
    <font>
      <sz val="9"/>
      <color theme="1"/>
      <name val="Tahoma"/>
      <family val="2"/>
    </font>
    <font>
      <sz val="9"/>
      <color theme="1"/>
      <name val="Tahoma"/>
      <family val="2"/>
    </font>
    <font>
      <sz val="9"/>
      <color theme="1"/>
      <name val="Tahoma"/>
      <family val="2"/>
    </font>
    <font>
      <sz val="9"/>
      <color theme="1"/>
      <name val="Tahoma"/>
      <family val="2"/>
    </font>
    <font>
      <sz val="11"/>
      <color indexed="8"/>
      <name val="Calibri"/>
      <family val="2"/>
    </font>
    <font>
      <sz val="9"/>
      <color indexed="8"/>
      <name val="Tahoma"/>
      <family val="2"/>
    </font>
    <font>
      <sz val="9"/>
      <name val="Tahoma"/>
      <family val="2"/>
    </font>
    <font>
      <u/>
      <sz val="14"/>
      <color indexed="55"/>
      <name val="Wingdings"/>
      <charset val="2"/>
    </font>
    <font>
      <b/>
      <sz val="9"/>
      <color indexed="45"/>
      <name val="Tahoma"/>
      <family val="2"/>
    </font>
    <font>
      <u/>
      <sz val="9"/>
      <name val="Tahoma"/>
      <family val="2"/>
    </font>
    <font>
      <b/>
      <sz val="8"/>
      <color indexed="45"/>
      <name val="Tahoma"/>
      <family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b/>
      <sz val="9"/>
      <color indexed="14"/>
      <name val="Wingdings 3"/>
      <family val="1"/>
      <charset val="2"/>
    </font>
    <font>
      <b/>
      <sz val="9"/>
      <name val="Wingdings 3"/>
      <family val="1"/>
      <charset val="2"/>
    </font>
    <font>
      <b/>
      <sz val="9"/>
      <color indexed="9"/>
      <name val="Tahoma"/>
      <family val="2"/>
    </font>
    <font>
      <vertAlign val="subscript"/>
      <sz val="9"/>
      <name val="Tahoma"/>
      <family val="2"/>
    </font>
    <font>
      <sz val="8"/>
      <name val="Tahoma"/>
      <family val="2"/>
    </font>
    <font>
      <sz val="9"/>
      <color indexed="10"/>
      <name val="Tahoma"/>
      <family val="2"/>
    </font>
    <font>
      <sz val="7"/>
      <color indexed="10"/>
      <name val="Small Fonts"/>
      <family val="2"/>
    </font>
    <font>
      <sz val="7"/>
      <color indexed="47"/>
      <name val="Small Fonts"/>
      <family val="2"/>
    </font>
    <font>
      <sz val="7"/>
      <color indexed="14"/>
      <name val="Small Fonts"/>
      <family val="2"/>
    </font>
    <font>
      <sz val="14"/>
      <color indexed="45"/>
      <name val="Webdings"/>
      <family val="1"/>
      <charset val="2"/>
    </font>
    <font>
      <b/>
      <u/>
      <sz val="8"/>
      <color indexed="45"/>
      <name val="Tahoma"/>
      <family val="2"/>
    </font>
    <font>
      <b/>
      <sz val="8"/>
      <color indexed="8"/>
      <name val="Tahoma"/>
      <family val="2"/>
    </font>
    <font>
      <b/>
      <sz val="9"/>
      <color theme="1"/>
      <name val="Tahoma"/>
      <family val="2"/>
    </font>
    <font>
      <b/>
      <sz val="10"/>
      <color rgb="FF4B0082"/>
      <name val="Tahoma"/>
      <family val="2"/>
    </font>
    <font>
      <u/>
      <sz val="10"/>
      <color indexed="10"/>
      <name val="Arial Narrow"/>
      <family val="2"/>
    </font>
    <font>
      <sz val="20"/>
      <color rgb="FFFFFFFF"/>
      <name val="Wingdings 3"/>
      <family val="1"/>
      <charset val="2"/>
    </font>
    <font>
      <sz val="20"/>
      <color rgb="FFCDCDCD"/>
      <name val="Wingdings 3"/>
      <family val="1"/>
      <charset val="2"/>
    </font>
    <font>
      <sz val="20"/>
      <color rgb="FFCDCDCD"/>
      <name val="Webdings"/>
      <family val="1"/>
      <charset val="2"/>
    </font>
    <font>
      <sz val="11"/>
      <color theme="1"/>
      <name val="Calibri"/>
      <family val="2"/>
      <scheme val="minor"/>
    </font>
    <font>
      <sz val="18"/>
      <color theme="0"/>
      <name val="Tahoma"/>
      <family val="2"/>
    </font>
    <font>
      <b/>
      <sz val="9"/>
      <color rgb="FF4B0082"/>
      <name val="Tahoma"/>
      <family val="2"/>
    </font>
    <font>
      <i/>
      <sz val="9"/>
      <color rgb="FF00CED1"/>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sz val="9"/>
      <color rgb="FF00CED1"/>
      <name val="Tahoma"/>
      <family val="2"/>
    </font>
    <font>
      <vertAlign val="subscript"/>
      <sz val="9"/>
      <color theme="1"/>
      <name val="Tahoma"/>
      <family val="2"/>
    </font>
    <font>
      <b/>
      <vertAlign val="subscript"/>
      <sz val="9"/>
      <color rgb="FF4B0082"/>
      <name val="Tahoma"/>
      <family val="2"/>
    </font>
    <font>
      <sz val="9"/>
      <color rgb="FFE6E6E6"/>
      <name val="Tahoma"/>
      <family val="2"/>
    </font>
    <font>
      <sz val="9"/>
      <name val="Source Sans Pro"/>
      <family val="2"/>
    </font>
    <font>
      <vertAlign val="subscript"/>
      <sz val="9"/>
      <name val="Source Sans Pro"/>
      <family val="2"/>
    </font>
    <font>
      <b/>
      <vertAlign val="subscript"/>
      <sz val="8"/>
      <color indexed="45"/>
      <name val="Tahoma"/>
      <family val="2"/>
    </font>
    <font>
      <b/>
      <sz val="8"/>
      <color theme="5"/>
      <name val="Tahoma"/>
      <family val="2"/>
    </font>
    <font>
      <b/>
      <sz val="8"/>
      <color rgb="FF00CED1"/>
      <name val="Tahoma"/>
      <family val="2"/>
    </font>
    <font>
      <b/>
      <sz val="9"/>
      <name val="Tahoma"/>
      <family val="2"/>
    </font>
    <font>
      <b/>
      <sz val="10"/>
      <name val="Tahoma"/>
      <family val="2"/>
    </font>
    <font>
      <b/>
      <sz val="9"/>
      <color indexed="8"/>
      <name val="Tahoma"/>
      <family val="2"/>
    </font>
    <font>
      <sz val="9"/>
      <color theme="9"/>
      <name val="Source Sans Pro"/>
      <family val="2"/>
    </font>
    <font>
      <b/>
      <sz val="8"/>
      <color theme="9"/>
      <name val="Tahoma"/>
      <family val="2"/>
    </font>
    <font>
      <sz val="8"/>
      <color rgb="FF00CED1"/>
      <name val="Tahoma"/>
      <family val="2"/>
    </font>
    <font>
      <b/>
      <sz val="8"/>
      <name val="Tahoma"/>
      <family val="2"/>
    </font>
    <font>
      <b/>
      <sz val="9"/>
      <color theme="5"/>
      <name val="Tahoma"/>
      <family val="2"/>
    </font>
    <font>
      <b/>
      <u/>
      <sz val="9"/>
      <name val="Tahoma"/>
      <family val="2"/>
    </font>
    <font>
      <b/>
      <vertAlign val="subscript"/>
      <sz val="9"/>
      <color theme="5"/>
      <name val="Tahoma"/>
      <family val="2"/>
    </font>
    <font>
      <sz val="8"/>
      <color indexed="8"/>
      <name val="Tahoma"/>
      <family val="2"/>
    </font>
    <font>
      <sz val="8"/>
      <color theme="1"/>
      <name val="Tahoma"/>
      <family val="2"/>
    </font>
    <font>
      <vertAlign val="subscript"/>
      <sz val="8"/>
      <color theme="1"/>
      <name val="Tahoma"/>
      <family val="2"/>
    </font>
    <font>
      <sz val="9"/>
      <color rgb="FF5F5F5A"/>
      <name val="tahoma"/>
      <family val="2"/>
    </font>
    <font>
      <b/>
      <sz val="8"/>
      <color rgb="FF7030A0"/>
      <name val="Tahoma"/>
      <family val="2"/>
    </font>
    <font>
      <b/>
      <sz val="14"/>
      <color theme="0"/>
      <name val="Tahoma"/>
      <family val="2"/>
    </font>
    <font>
      <b/>
      <sz val="12"/>
      <color rgb="FF00008F"/>
      <name val="Tahoma"/>
      <family val="2"/>
    </font>
    <font>
      <b/>
      <sz val="11"/>
      <color rgb="FF4B0082"/>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b/>
      <sz val="8"/>
      <color theme="6"/>
      <name val="Tahoma"/>
      <family val="2"/>
    </font>
    <font>
      <b/>
      <sz val="11"/>
      <color theme="6"/>
      <name val="Tahoma"/>
      <family val="2"/>
    </font>
    <font>
      <sz val="8"/>
      <color rgb="FFE6E6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u/>
      <sz val="12"/>
      <color rgb="FFFF0000"/>
      <name val="Mangal Pro"/>
    </font>
    <font>
      <sz val="9"/>
      <color theme="5"/>
      <name val="Tahoma"/>
      <family val="2"/>
    </font>
    <font>
      <sz val="8"/>
      <color theme="4"/>
      <name val="Tahoma"/>
      <family val="2"/>
    </font>
    <font>
      <b/>
      <sz val="10"/>
      <color theme="6"/>
      <name val="Tahoma"/>
      <family val="2"/>
    </font>
    <font>
      <sz val="8"/>
      <color theme="6"/>
      <name val="Tahoma"/>
      <family val="2"/>
    </font>
    <font>
      <sz val="8"/>
      <color indexed="51"/>
      <name val="Tahoma"/>
      <family val="2"/>
    </font>
    <font>
      <sz val="8"/>
      <color indexed="51" tint="0.79998168889431442"/>
      <name val="Tahoma"/>
      <family val="2"/>
    </font>
    <font>
      <b/>
      <sz val="14"/>
      <color rgb="FFFF0000"/>
      <name val="Tahoma"/>
      <family val="2"/>
    </font>
    <font>
      <sz val="9"/>
      <color theme="5" tint="0.39997558519241921"/>
      <name val="Source Sans Pro"/>
      <family val="2"/>
    </font>
    <font>
      <sz val="9"/>
      <color theme="8"/>
      <name val="Tahoma"/>
      <family val="2"/>
    </font>
    <font>
      <u/>
      <sz val="9"/>
      <color theme="8"/>
      <name val="Tahoma"/>
      <family val="2"/>
    </font>
    <font>
      <sz val="9"/>
      <color theme="6"/>
      <name val="Tahoma"/>
      <family val="2"/>
    </font>
    <font>
      <b/>
      <sz val="9"/>
      <color theme="0"/>
      <name val="Tahoma"/>
      <family val="1"/>
      <charset val="2"/>
    </font>
    <font>
      <b/>
      <sz val="9"/>
      <color theme="0"/>
      <name val="Wingdings 3"/>
      <family val="1"/>
      <charset val="2"/>
    </font>
    <font>
      <b/>
      <u/>
      <sz val="9"/>
      <color theme="0"/>
      <name val="Tahoma"/>
      <family val="2"/>
    </font>
    <font>
      <b/>
      <sz val="9"/>
      <color theme="6"/>
      <name val="Wingdings 3"/>
      <family val="1"/>
      <charset val="2"/>
    </font>
    <font>
      <b/>
      <sz val="9"/>
      <color theme="6"/>
      <name val="tahoma"/>
      <family val="2"/>
    </font>
    <font>
      <b/>
      <u/>
      <sz val="8"/>
      <color theme="6"/>
      <name val="Tahoma"/>
      <family val="2"/>
    </font>
    <font>
      <b/>
      <sz val="9"/>
      <color theme="5"/>
      <name val="Wingdings 3"/>
      <family val="1"/>
      <charset val="2"/>
    </font>
    <font>
      <b/>
      <u/>
      <sz val="8"/>
      <color theme="5"/>
      <name val="Tahoma"/>
      <family val="2"/>
    </font>
    <font>
      <sz val="9"/>
      <color rgb="FFC00000"/>
      <name val="Calibri"/>
      <family val="2"/>
      <scheme val="minor"/>
    </font>
    <font>
      <sz val="8"/>
      <color rgb="FF92D050"/>
      <name val="Source Sans Pro"/>
      <family val="2"/>
    </font>
    <font>
      <sz val="9"/>
      <color theme="0" tint="-0.499984740745262"/>
      <name val="Calibri"/>
      <family val="2"/>
      <scheme val="minor"/>
    </font>
    <font>
      <b/>
      <sz val="9"/>
      <color theme="0" tint="-0.499984740745262"/>
      <name val="Calibri"/>
      <family val="2"/>
      <scheme val="minor"/>
    </font>
  </fonts>
  <fills count="38">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43"/>
        <bgColor indexed="64"/>
      </patternFill>
    </fill>
    <fill>
      <patternFill patternType="solid">
        <fgColor rgb="FF5F5F5A"/>
        <bgColor rgb="FFE6E6E6"/>
      </patternFill>
    </fill>
    <fill>
      <patternFill patternType="mediumGray">
        <fgColor rgb="FFE6E6E6"/>
        <bgColor rgb="FF5F5F5A"/>
      </patternFill>
    </fill>
    <fill>
      <patternFill patternType="solid">
        <fgColor rgb="FF5F5F5A"/>
        <bgColor rgb="FF000000"/>
      </patternFill>
    </fill>
    <fill>
      <patternFill patternType="solid">
        <fgColor rgb="FF4B0082"/>
        <bgColor indexed="64"/>
      </patternFill>
    </fill>
    <fill>
      <patternFill patternType="solid">
        <fgColor rgb="FF00CED0"/>
        <bgColor indexed="64"/>
      </patternFill>
    </fill>
    <fill>
      <patternFill patternType="solid">
        <fgColor rgb="FF00CED1"/>
        <bgColor indexed="64"/>
      </patternFill>
    </fill>
    <fill>
      <patternFill patternType="solid">
        <fgColor rgb="FF5F5F5A"/>
        <bgColor indexed="51"/>
      </patternFill>
    </fill>
    <fill>
      <patternFill patternType="solid">
        <fgColor rgb="FF00CED1"/>
        <bgColor rgb="FF000000"/>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4.9989318521683403E-2"/>
        <bgColor indexed="47"/>
      </patternFill>
    </fill>
    <fill>
      <patternFill patternType="solid">
        <fgColor theme="0" tint="-4.9989318521683403E-2"/>
        <bgColor theme="1"/>
      </patternFill>
    </fill>
    <fill>
      <patternFill patternType="solid">
        <fgColor theme="2"/>
        <bgColor indexed="64"/>
      </patternFill>
    </fill>
    <fill>
      <patternFill patternType="solid">
        <fgColor theme="0" tint="-0.14999847407452621"/>
        <bgColor indexed="64"/>
      </patternFill>
    </fill>
    <fill>
      <patternFill patternType="solid">
        <fgColor rgb="FFFF0000"/>
        <bgColor indexed="47"/>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6"/>
        <bgColor indexed="64"/>
      </patternFill>
    </fill>
    <fill>
      <patternFill patternType="solid">
        <fgColor theme="6"/>
        <bgColor theme="0"/>
      </patternFill>
    </fill>
    <fill>
      <patternFill patternType="solid">
        <fgColor theme="6"/>
        <bgColor rgb="FF000000"/>
      </patternFill>
    </fill>
    <fill>
      <patternFill patternType="solid">
        <fgColor theme="6" tint="0.79998168889431442"/>
        <bgColor indexed="64"/>
      </patternFill>
    </fill>
    <fill>
      <patternFill patternType="solid">
        <fgColor theme="9"/>
        <bgColor indexed="64"/>
      </patternFill>
    </fill>
    <fill>
      <patternFill patternType="solid">
        <fgColor rgb="FFB4C6E7"/>
        <bgColor indexed="64"/>
      </patternFill>
    </fill>
    <fill>
      <patternFill patternType="solid">
        <fgColor theme="6"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rgb="FF002060"/>
        <bgColor rgb="FF000000"/>
      </patternFill>
    </fill>
    <fill>
      <patternFill patternType="solid">
        <fgColor rgb="FF7030A0"/>
        <bgColor rgb="FF000000"/>
      </patternFill>
    </fill>
  </fills>
  <borders count="25">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medium">
        <color rgb="FFE6E6E6"/>
      </left>
      <right style="medium">
        <color rgb="FFE6E6E6"/>
      </right>
      <top style="medium">
        <color rgb="FFE6E6E6"/>
      </top>
      <bottom style="medium">
        <color rgb="FFE6E6E6"/>
      </bottom>
      <diagonal/>
    </border>
    <border>
      <left style="thin">
        <color theme="0"/>
      </left>
      <right style="thin">
        <color theme="0"/>
      </right>
      <top style="thin">
        <color theme="0"/>
      </top>
      <bottom style="thin">
        <color theme="0"/>
      </bottom>
      <diagonal/>
    </border>
    <border>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20">
    <xf numFmtId="0" fontId="0" fillId="0" borderId="0">
      <alignment vertical="center"/>
    </xf>
    <xf numFmtId="0" fontId="8" fillId="2" borderId="1" applyNumberFormat="0" applyFont="0" applyFill="0" applyBorder="0" applyAlignment="0" applyProtection="0">
      <alignment horizontal="center" vertical="center"/>
      <protection hidden="1"/>
    </xf>
    <xf numFmtId="9" fontId="5" fillId="0" borderId="0" applyFont="0" applyFill="0" applyBorder="0" applyAlignment="0" applyProtection="0"/>
    <xf numFmtId="0" fontId="7" fillId="0" borderId="0">
      <alignment vertical="center"/>
    </xf>
    <xf numFmtId="0" fontId="7" fillId="0" borderId="0"/>
    <xf numFmtId="0" fontId="30" fillId="0" borderId="0" applyNumberFormat="0" applyFont="0" applyFill="0" applyBorder="0" applyAlignment="0" applyProtection="0">
      <alignment vertical="top"/>
      <protection locked="0"/>
    </xf>
    <xf numFmtId="0" fontId="34" fillId="0" borderId="0"/>
    <xf numFmtId="0" fontId="6" fillId="0" borderId="0">
      <alignment vertical="center"/>
    </xf>
    <xf numFmtId="0" fontId="34" fillId="0" borderId="0"/>
    <xf numFmtId="0" fontId="6" fillId="0" borderId="0">
      <alignment vertical="center"/>
    </xf>
    <xf numFmtId="0" fontId="34" fillId="0" borderId="0"/>
    <xf numFmtId="164" fontId="6" fillId="0" borderId="0" applyFont="0" applyFill="0" applyBorder="0" applyAlignment="0" applyProtection="0"/>
    <xf numFmtId="9" fontId="6" fillId="0" borderId="0" applyFont="0" applyFill="0" applyBorder="0" applyAlignment="0" applyProtection="0"/>
    <xf numFmtId="0" fontId="6" fillId="0" borderId="0">
      <alignment vertical="center"/>
    </xf>
    <xf numFmtId="0" fontId="1" fillId="0" borderId="0"/>
    <xf numFmtId="0" fontId="7" fillId="0" borderId="0">
      <alignment vertical="center"/>
    </xf>
    <xf numFmtId="0" fontId="1" fillId="0" borderId="0"/>
    <xf numFmtId="0" fontId="1" fillId="0" borderId="0"/>
    <xf numFmtId="0" fontId="1" fillId="0" borderId="0">
      <alignment vertical="center"/>
    </xf>
    <xf numFmtId="0" fontId="8" fillId="2" borderId="1" applyNumberFormat="0" applyFont="0" applyFill="0" applyBorder="0" applyAlignment="0" applyProtection="0">
      <alignment horizontal="center" vertical="center"/>
      <protection hidden="1"/>
    </xf>
  </cellStyleXfs>
  <cellXfs count="281">
    <xf numFmtId="0" fontId="0" fillId="0" borderId="0" xfId="0">
      <alignment vertical="center"/>
    </xf>
    <xf numFmtId="0" fontId="12" fillId="3" borderId="2" xfId="1" applyFont="1" applyFill="1" applyBorder="1">
      <alignment horizontal="center" vertical="center"/>
      <protection hidden="1"/>
    </xf>
    <xf numFmtId="0" fontId="13" fillId="4" borderId="2" xfId="0" applyFont="1" applyFill="1" applyBorder="1" applyAlignment="1" applyProtection="1">
      <alignment horizontal="center" vertical="center"/>
      <protection hidden="1"/>
    </xf>
    <xf numFmtId="0" fontId="14" fillId="4" borderId="2" xfId="0" applyFont="1" applyFill="1" applyBorder="1" applyAlignment="1" applyProtection="1">
      <alignment horizontal="center" vertical="center"/>
      <protection hidden="1"/>
    </xf>
    <xf numFmtId="0" fontId="16" fillId="0" borderId="0" xfId="0" applyFont="1" applyProtection="1">
      <alignment vertical="center"/>
      <protection hidden="1"/>
    </xf>
    <xf numFmtId="0" fontId="17" fillId="0" borderId="0" xfId="0" applyFont="1" applyProtection="1">
      <alignment vertical="center"/>
      <protection hidden="1"/>
    </xf>
    <xf numFmtId="0" fontId="7" fillId="0" borderId="0" xfId="0" applyFont="1" applyProtection="1">
      <alignment vertical="center"/>
      <protection hidden="1"/>
    </xf>
    <xf numFmtId="0" fontId="6" fillId="0" borderId="0" xfId="0" applyFont="1" applyProtection="1">
      <alignment vertical="center"/>
      <protection hidden="1"/>
    </xf>
    <xf numFmtId="0" fontId="7" fillId="0" borderId="0" xfId="0" applyFont="1" applyAlignment="1" applyProtection="1">
      <alignment horizontal="left" vertical="center" indent="1"/>
      <protection hidden="1"/>
    </xf>
    <xf numFmtId="0" fontId="9" fillId="3" borderId="3" xfId="0" applyFont="1" applyFill="1" applyBorder="1" applyAlignment="1" applyProtection="1">
      <alignment horizontal="center" vertical="center"/>
      <protection hidden="1"/>
    </xf>
    <xf numFmtId="0" fontId="21" fillId="0" borderId="0" xfId="0" applyFont="1" applyProtection="1">
      <alignment vertical="center"/>
      <protection hidden="1"/>
    </xf>
    <xf numFmtId="165" fontId="7" fillId="5" borderId="3" xfId="0" applyNumberFormat="1" applyFont="1" applyFill="1" applyBorder="1" applyAlignment="1" applyProtection="1">
      <alignment horizontal="right" vertical="center"/>
      <protection hidden="1"/>
    </xf>
    <xf numFmtId="0" fontId="24" fillId="0" borderId="0" xfId="0" applyFont="1" applyAlignment="1" applyProtection="1">
      <alignment horizontal="center" vertical="top"/>
      <protection hidden="1"/>
    </xf>
    <xf numFmtId="0" fontId="29" fillId="0" borderId="0" xfId="0" applyFont="1" applyProtection="1">
      <alignment vertical="center"/>
      <protection hidden="1"/>
    </xf>
    <xf numFmtId="0" fontId="31" fillId="6" borderId="5" xfId="5" applyFont="1" applyFill="1" applyBorder="1" applyAlignment="1" applyProtection="1">
      <alignment horizontal="center" vertical="center"/>
    </xf>
    <xf numFmtId="0" fontId="32" fillId="7" borderId="5" xfId="4" applyFont="1" applyFill="1" applyBorder="1" applyAlignment="1">
      <alignment horizontal="center" vertical="center"/>
    </xf>
    <xf numFmtId="0" fontId="33" fillId="7" borderId="5" xfId="4" applyFont="1" applyFill="1" applyBorder="1" applyAlignment="1">
      <alignment horizontal="center" vertical="center"/>
    </xf>
    <xf numFmtId="0" fontId="31" fillId="8" borderId="5" xfId="5" applyFont="1" applyFill="1" applyBorder="1" applyAlignment="1" applyProtection="1">
      <alignment horizontal="center" vertical="center"/>
    </xf>
    <xf numFmtId="0" fontId="0" fillId="0" borderId="0" xfId="0" applyAlignment="1">
      <alignment vertical="top"/>
    </xf>
    <xf numFmtId="0" fontId="7" fillId="0" borderId="0" xfId="0" applyFont="1" applyAlignment="1">
      <alignment horizontal="left" vertical="top" wrapText="1"/>
    </xf>
    <xf numFmtId="165" fontId="18" fillId="10" borderId="3" xfId="0" applyNumberFormat="1" applyFont="1" applyFill="1" applyBorder="1" applyProtection="1">
      <alignment vertical="center"/>
      <protection locked="0"/>
    </xf>
    <xf numFmtId="0" fontId="37" fillId="0" borderId="0" xfId="0" applyFont="1" applyAlignment="1" applyProtection="1">
      <alignment horizontal="center" vertical="center"/>
      <protection hidden="1"/>
    </xf>
    <xf numFmtId="0" fontId="31" fillId="12" borderId="0" xfId="1" applyFont="1" applyFill="1" applyBorder="1" applyAlignment="1" applyProtection="1">
      <alignment horizontal="center" vertical="center"/>
    </xf>
    <xf numFmtId="0" fontId="6" fillId="0" borderId="0" xfId="7">
      <alignment vertical="center"/>
    </xf>
    <xf numFmtId="0" fontId="45" fillId="0" borderId="0" xfId="7" applyFont="1">
      <alignment vertical="center"/>
    </xf>
    <xf numFmtId="0" fontId="46" fillId="0" borderId="0" xfId="0" applyFont="1">
      <alignment vertical="center"/>
    </xf>
    <xf numFmtId="0" fontId="46" fillId="0" borderId="0" xfId="0" applyFont="1" applyProtection="1">
      <alignment vertical="center"/>
      <protection hidden="1"/>
    </xf>
    <xf numFmtId="0" fontId="46" fillId="0" borderId="0" xfId="0" applyFont="1" applyAlignment="1" applyProtection="1">
      <alignment horizontal="left" vertical="center"/>
      <protection hidden="1"/>
    </xf>
    <xf numFmtId="167" fontId="46" fillId="0" borderId="0" xfId="2" applyNumberFormat="1" applyFont="1" applyFill="1" applyBorder="1" applyAlignment="1" applyProtection="1">
      <alignment horizontal="center" vertical="center"/>
      <protection hidden="1"/>
    </xf>
    <xf numFmtId="164" fontId="46" fillId="0" borderId="0" xfId="11" applyFont="1" applyAlignment="1" applyProtection="1">
      <alignment vertical="center"/>
      <protection hidden="1"/>
    </xf>
    <xf numFmtId="0" fontId="46" fillId="0" borderId="0" xfId="0" applyFont="1" applyAlignment="1" applyProtection="1">
      <alignment horizontal="center" vertical="center"/>
      <protection hidden="1"/>
    </xf>
    <xf numFmtId="14" fontId="46" fillId="0" borderId="0" xfId="0" applyNumberFormat="1" applyFont="1">
      <alignment vertical="center"/>
    </xf>
    <xf numFmtId="0" fontId="46" fillId="0" borderId="0" xfId="0" applyFont="1" applyAlignment="1">
      <alignment horizontal="center" vertical="center"/>
    </xf>
    <xf numFmtId="10" fontId="46" fillId="0" borderId="0" xfId="0" applyNumberFormat="1" applyFont="1">
      <alignment vertical="center"/>
    </xf>
    <xf numFmtId="2" fontId="46" fillId="0" borderId="0" xfId="0" applyNumberFormat="1" applyFont="1">
      <alignment vertical="center"/>
    </xf>
    <xf numFmtId="9" fontId="46" fillId="0" borderId="0" xfId="12" applyFont="1" applyFill="1" applyAlignment="1">
      <alignment vertical="center"/>
    </xf>
    <xf numFmtId="168" fontId="46" fillId="0" borderId="0" xfId="11" applyNumberFormat="1" applyFont="1" applyFill="1" applyAlignment="1">
      <alignment vertical="center"/>
    </xf>
    <xf numFmtId="1" fontId="46" fillId="0" borderId="0" xfId="0" applyNumberFormat="1" applyFont="1">
      <alignment vertical="center"/>
    </xf>
    <xf numFmtId="1" fontId="46" fillId="0" borderId="0" xfId="11" applyNumberFormat="1" applyFont="1" applyFill="1" applyAlignment="1">
      <alignment vertical="center"/>
    </xf>
    <xf numFmtId="164" fontId="46" fillId="0" borderId="0" xfId="0" applyNumberFormat="1" applyFont="1">
      <alignment vertical="center"/>
    </xf>
    <xf numFmtId="0" fontId="46" fillId="16" borderId="0" xfId="2" applyNumberFormat="1" applyFont="1" applyFill="1" applyBorder="1" applyAlignment="1" applyProtection="1">
      <alignment horizontal="center" vertical="center"/>
      <protection hidden="1"/>
    </xf>
    <xf numFmtId="166" fontId="46" fillId="16" borderId="0" xfId="2" applyNumberFormat="1" applyFont="1" applyFill="1" applyBorder="1" applyAlignment="1" applyProtection="1">
      <alignment horizontal="center" vertical="center"/>
      <protection hidden="1"/>
    </xf>
    <xf numFmtId="10" fontId="46" fillId="16" borderId="0" xfId="2" applyNumberFormat="1" applyFont="1" applyFill="1" applyBorder="1" applyAlignment="1" applyProtection="1">
      <alignment horizontal="center" vertical="center"/>
      <protection hidden="1"/>
    </xf>
    <xf numFmtId="9" fontId="46" fillId="16" borderId="0" xfId="2" applyFont="1" applyFill="1" applyBorder="1" applyAlignment="1" applyProtection="1">
      <alignment horizontal="center" vertical="center"/>
      <protection hidden="1"/>
    </xf>
    <xf numFmtId="167" fontId="46" fillId="16" borderId="0" xfId="2" applyNumberFormat="1" applyFont="1" applyFill="1" applyBorder="1" applyAlignment="1" applyProtection="1">
      <alignment horizontal="center" vertical="center"/>
      <protection hidden="1"/>
    </xf>
    <xf numFmtId="164" fontId="46" fillId="16" borderId="0" xfId="11" applyFont="1" applyFill="1" applyAlignment="1" applyProtection="1">
      <alignment vertical="center"/>
      <protection hidden="1"/>
    </xf>
    <xf numFmtId="14" fontId="46" fillId="16" borderId="0" xfId="0" applyNumberFormat="1" applyFont="1" applyFill="1">
      <alignment vertical="center"/>
    </xf>
    <xf numFmtId="1" fontId="46" fillId="16" borderId="0" xfId="0" applyNumberFormat="1" applyFont="1" applyFill="1">
      <alignment vertical="center"/>
    </xf>
    <xf numFmtId="168" fontId="46" fillId="16" borderId="0" xfId="11" applyNumberFormat="1" applyFont="1" applyFill="1" applyAlignment="1">
      <alignment vertical="center"/>
    </xf>
    <xf numFmtId="1" fontId="46" fillId="16" borderId="0" xfId="11" applyNumberFormat="1" applyFont="1" applyFill="1" applyAlignment="1">
      <alignment vertical="center"/>
    </xf>
    <xf numFmtId="0" fontId="46" fillId="16" borderId="0" xfId="0" applyFont="1" applyFill="1">
      <alignment vertical="center"/>
    </xf>
    <xf numFmtId="10" fontId="46" fillId="16" borderId="0" xfId="0" applyNumberFormat="1" applyFont="1" applyFill="1">
      <alignment vertical="center"/>
    </xf>
    <xf numFmtId="164" fontId="46" fillId="16" borderId="0" xfId="0" applyNumberFormat="1" applyFont="1" applyFill="1">
      <alignment vertical="center"/>
    </xf>
    <xf numFmtId="10" fontId="46" fillId="0" borderId="0" xfId="12" applyNumberFormat="1" applyFont="1" applyAlignment="1" applyProtection="1">
      <alignment vertical="center"/>
      <protection hidden="1"/>
    </xf>
    <xf numFmtId="0" fontId="49" fillId="0" borderId="0" xfId="0" applyFont="1" applyAlignment="1" applyProtection="1">
      <alignment horizontal="center" vertical="center" wrapText="1"/>
      <protection hidden="1"/>
    </xf>
    <xf numFmtId="0" fontId="50" fillId="0" borderId="0" xfId="6" applyFont="1" applyAlignment="1">
      <alignment horizontal="right"/>
    </xf>
    <xf numFmtId="0" fontId="0" fillId="17" borderId="0" xfId="0" applyFill="1" applyProtection="1">
      <alignment vertical="center"/>
      <protection hidden="1"/>
    </xf>
    <xf numFmtId="0" fontId="23" fillId="17" borderId="0" xfId="0" applyFont="1" applyFill="1" applyProtection="1">
      <alignment vertical="center"/>
      <protection hidden="1"/>
    </xf>
    <xf numFmtId="0" fontId="6" fillId="17" borderId="0" xfId="0" applyFont="1" applyFill="1" applyProtection="1">
      <alignment vertical="center"/>
      <protection hidden="1"/>
    </xf>
    <xf numFmtId="0" fontId="23" fillId="18" borderId="0" xfId="0" applyFont="1" applyFill="1" applyProtection="1">
      <alignment vertical="center"/>
      <protection locked="0" hidden="1"/>
    </xf>
    <xf numFmtId="0" fontId="23" fillId="18" borderId="0" xfId="0" applyFont="1" applyFill="1" applyProtection="1">
      <alignment vertical="center"/>
      <protection hidden="1"/>
    </xf>
    <xf numFmtId="0" fontId="23" fillId="19" borderId="0" xfId="0" applyFont="1" applyFill="1" applyProtection="1">
      <alignment vertical="center"/>
      <protection hidden="1"/>
    </xf>
    <xf numFmtId="0" fontId="22" fillId="17" borderId="0" xfId="0" applyFont="1" applyFill="1" applyProtection="1">
      <alignment vertical="center"/>
      <protection hidden="1"/>
    </xf>
    <xf numFmtId="0" fontId="7" fillId="17" borderId="0" xfId="0" applyFont="1" applyFill="1" applyProtection="1">
      <alignment vertical="center"/>
      <protection hidden="1"/>
    </xf>
    <xf numFmtId="0" fontId="15" fillId="17" borderId="0" xfId="0" applyFont="1" applyFill="1" applyProtection="1">
      <alignment vertical="center"/>
      <protection hidden="1"/>
    </xf>
    <xf numFmtId="10" fontId="51" fillId="21" borderId="4" xfId="2" applyNumberFormat="1" applyFont="1" applyFill="1" applyBorder="1" applyAlignment="1" applyProtection="1">
      <alignment vertical="center"/>
      <protection hidden="1"/>
    </xf>
    <xf numFmtId="168" fontId="46" fillId="0" borderId="0" xfId="0" applyNumberFormat="1" applyFont="1">
      <alignment vertical="center"/>
    </xf>
    <xf numFmtId="0" fontId="52" fillId="21" borderId="6" xfId="0" applyFont="1" applyFill="1" applyBorder="1" applyAlignment="1" applyProtection="1">
      <alignment horizontal="center" vertical="center"/>
      <protection hidden="1"/>
    </xf>
    <xf numFmtId="0" fontId="7" fillId="17" borderId="6" xfId="0" applyFont="1" applyFill="1" applyBorder="1" applyAlignment="1" applyProtection="1">
      <alignment horizontal="left" vertical="center" indent="1"/>
      <protection hidden="1"/>
    </xf>
    <xf numFmtId="1" fontId="7" fillId="17" borderId="6" xfId="0" applyNumberFormat="1" applyFont="1" applyFill="1" applyBorder="1" applyAlignment="1" applyProtection="1">
      <alignment horizontal="center" vertical="center"/>
      <protection hidden="1"/>
    </xf>
    <xf numFmtId="10" fontId="7" fillId="17" borderId="6" xfId="12" applyNumberFormat="1" applyFont="1" applyFill="1" applyBorder="1" applyAlignment="1" applyProtection="1">
      <alignment horizontal="center" vertical="center"/>
      <protection hidden="1"/>
    </xf>
    <xf numFmtId="0" fontId="51" fillId="21" borderId="6" xfId="0" applyFont="1" applyFill="1" applyBorder="1" applyAlignment="1" applyProtection="1">
      <alignment horizontal="center" vertical="center"/>
      <protection hidden="1"/>
    </xf>
    <xf numFmtId="1" fontId="51" fillId="21" borderId="6" xfId="0" applyNumberFormat="1" applyFont="1" applyFill="1" applyBorder="1" applyAlignment="1" applyProtection="1">
      <alignment horizontal="center" vertical="center"/>
      <protection hidden="1"/>
    </xf>
    <xf numFmtId="10" fontId="53" fillId="21" borderId="6" xfId="0" applyNumberFormat="1" applyFont="1" applyFill="1" applyBorder="1" applyAlignment="1" applyProtection="1">
      <alignment horizontal="center" vertical="center"/>
      <protection hidden="1"/>
    </xf>
    <xf numFmtId="0" fontId="25" fillId="22" borderId="7" xfId="0" applyFont="1" applyFill="1" applyBorder="1" applyAlignment="1" applyProtection="1">
      <alignment horizontal="center" vertical="center"/>
      <protection hidden="1"/>
    </xf>
    <xf numFmtId="0" fontId="54" fillId="0" borderId="0" xfId="2" applyNumberFormat="1" applyFont="1" applyFill="1" applyBorder="1" applyAlignment="1" applyProtection="1">
      <alignment horizontal="center" vertical="center"/>
      <protection hidden="1"/>
    </xf>
    <xf numFmtId="166" fontId="54" fillId="0" borderId="0" xfId="2" applyNumberFormat="1" applyFont="1" applyFill="1" applyBorder="1" applyAlignment="1" applyProtection="1">
      <alignment horizontal="center" vertical="center"/>
      <protection hidden="1"/>
    </xf>
    <xf numFmtId="10" fontId="54" fillId="0" borderId="0" xfId="2" applyNumberFormat="1" applyFont="1" applyFill="1" applyBorder="1" applyAlignment="1" applyProtection="1">
      <alignment horizontal="center" vertical="center"/>
      <protection hidden="1"/>
    </xf>
    <xf numFmtId="9" fontId="54" fillId="0" borderId="0" xfId="2" applyFont="1" applyFill="1" applyBorder="1" applyAlignment="1" applyProtection="1">
      <alignment horizontal="center" vertical="center"/>
      <protection hidden="1"/>
    </xf>
    <xf numFmtId="164" fontId="42" fillId="0" borderId="0" xfId="0" applyNumberFormat="1" applyFont="1">
      <alignment vertical="center"/>
    </xf>
    <xf numFmtId="164" fontId="56" fillId="0" borderId="0" xfId="0" applyNumberFormat="1" applyFont="1" applyAlignment="1" applyProtection="1">
      <alignment horizontal="right" vertical="center" wrapText="1"/>
      <protection hidden="1"/>
    </xf>
    <xf numFmtId="169" fontId="51" fillId="21" borderId="4" xfId="11" applyNumberFormat="1" applyFont="1" applyFill="1" applyBorder="1" applyAlignment="1" applyProtection="1">
      <alignment vertical="center"/>
      <protection hidden="1"/>
    </xf>
    <xf numFmtId="169" fontId="7" fillId="17" borderId="6" xfId="0" applyNumberFormat="1" applyFont="1" applyFill="1" applyBorder="1" applyAlignment="1" applyProtection="1">
      <alignment horizontal="right" vertical="center"/>
      <protection hidden="1"/>
    </xf>
    <xf numFmtId="169" fontId="51" fillId="21" borderId="6" xfId="0" applyNumberFormat="1" applyFont="1" applyFill="1" applyBorder="1" applyAlignment="1" applyProtection="1">
      <alignment horizontal="right" vertical="center"/>
      <protection hidden="1"/>
    </xf>
    <xf numFmtId="0" fontId="7" fillId="17" borderId="6" xfId="2" applyNumberFormat="1" applyFont="1" applyFill="1" applyBorder="1" applyAlignment="1" applyProtection="1">
      <alignment horizontal="center" vertical="center"/>
      <protection hidden="1"/>
    </xf>
    <xf numFmtId="9" fontId="7" fillId="17" borderId="6" xfId="2" applyFont="1" applyFill="1" applyBorder="1" applyAlignment="1" applyProtection="1">
      <alignment horizontal="center" vertical="center"/>
      <protection hidden="1"/>
    </xf>
    <xf numFmtId="167" fontId="7" fillId="17" borderId="6" xfId="2" applyNumberFormat="1" applyFont="1" applyFill="1" applyBorder="1" applyAlignment="1" applyProtection="1">
      <alignment horizontal="center" vertical="center"/>
      <protection hidden="1"/>
    </xf>
    <xf numFmtId="0" fontId="57" fillId="21" borderId="6" xfId="0" applyFont="1" applyFill="1" applyBorder="1" applyAlignment="1" applyProtection="1">
      <alignment horizontal="center" vertical="center"/>
      <protection hidden="1"/>
    </xf>
    <xf numFmtId="0" fontId="7" fillId="0" borderId="0" xfId="0" applyFont="1" applyAlignment="1">
      <alignment vertical="center" wrapText="1"/>
    </xf>
    <xf numFmtId="0" fontId="28" fillId="0" borderId="0" xfId="0" applyFont="1" applyAlignment="1">
      <alignment horizontal="center" vertical="center"/>
    </xf>
    <xf numFmtId="0" fontId="2" fillId="0" borderId="0" xfId="0" applyFont="1" applyAlignment="1">
      <alignment horizontal="left" vertical="center"/>
    </xf>
    <xf numFmtId="0" fontId="4" fillId="0" borderId="0" xfId="0" applyFont="1">
      <alignment vertical="center"/>
    </xf>
    <xf numFmtId="0" fontId="3" fillId="0" borderId="0" xfId="0" applyFont="1" applyAlignment="1">
      <alignment horizontal="left" vertical="center"/>
    </xf>
    <xf numFmtId="0" fontId="1" fillId="0" borderId="0" xfId="0" applyFont="1" applyAlignment="1">
      <alignment horizontal="left" vertical="center"/>
    </xf>
    <xf numFmtId="0" fontId="0" fillId="15" borderId="0" xfId="0" applyFill="1">
      <alignment vertical="center"/>
    </xf>
    <xf numFmtId="0" fontId="1" fillId="15" borderId="0" xfId="0" applyFont="1" applyFill="1" applyAlignment="1">
      <alignment horizontal="left" vertical="center"/>
    </xf>
    <xf numFmtId="0" fontId="28" fillId="15" borderId="0" xfId="0" applyFont="1" applyFill="1" applyAlignment="1">
      <alignment horizontal="center" vertical="center"/>
    </xf>
    <xf numFmtId="0" fontId="20" fillId="0" borderId="0" xfId="0" applyFont="1" applyAlignment="1">
      <alignment vertical="top"/>
    </xf>
    <xf numFmtId="0" fontId="7" fillId="0" borderId="0" xfId="0" applyFont="1" applyAlignment="1">
      <alignment horizontal="left" vertical="top" indent="1"/>
    </xf>
    <xf numFmtId="0" fontId="36" fillId="0" borderId="0" xfId="0" applyFont="1" applyProtection="1">
      <alignment vertical="center"/>
      <protection hidden="1"/>
    </xf>
    <xf numFmtId="0" fontId="1" fillId="15" borderId="0" xfId="0" applyFont="1" applyFill="1" applyAlignment="1">
      <alignment horizontal="left" vertical="center" indent="1"/>
    </xf>
    <xf numFmtId="0" fontId="1" fillId="15" borderId="0" xfId="0" applyFont="1" applyFill="1">
      <alignment vertical="center"/>
    </xf>
    <xf numFmtId="0" fontId="1" fillId="15" borderId="0" xfId="0" applyFont="1" applyFill="1" applyAlignment="1">
      <alignment horizontal="center" vertical="center"/>
    </xf>
    <xf numFmtId="0" fontId="0" fillId="0" borderId="0" xfId="0" applyAlignment="1">
      <alignment horizontal="left" vertical="center" indent="1"/>
    </xf>
    <xf numFmtId="0" fontId="1" fillId="0" borderId="0" xfId="0" applyFont="1">
      <alignment vertical="center"/>
    </xf>
    <xf numFmtId="0" fontId="1" fillId="0" borderId="0" xfId="0" applyFont="1" applyAlignment="1">
      <alignment horizontal="center" vertical="center"/>
    </xf>
    <xf numFmtId="0" fontId="7" fillId="0" borderId="0" xfId="0" applyFont="1">
      <alignment vertical="center"/>
    </xf>
    <xf numFmtId="169" fontId="7" fillId="0" borderId="0" xfId="0" applyNumberFormat="1" applyFont="1">
      <alignment vertical="center"/>
    </xf>
    <xf numFmtId="169" fontId="7" fillId="0" borderId="9" xfId="0" applyNumberFormat="1" applyFont="1" applyBorder="1">
      <alignment vertical="center"/>
    </xf>
    <xf numFmtId="169" fontId="58" fillId="0" borderId="9" xfId="0" applyNumberFormat="1" applyFont="1" applyBorder="1">
      <alignment vertical="center"/>
    </xf>
    <xf numFmtId="169" fontId="58" fillId="0" borderId="0" xfId="0" applyNumberFormat="1" applyFont="1">
      <alignment vertical="center"/>
    </xf>
    <xf numFmtId="0" fontId="59" fillId="0" borderId="0" xfId="0" applyFont="1" applyAlignment="1">
      <alignment horizontal="left" vertical="center" wrapText="1" indent="1"/>
    </xf>
    <xf numFmtId="0" fontId="36" fillId="0" borderId="0" xfId="0" applyFont="1" applyAlignment="1" applyProtection="1">
      <alignment vertical="top"/>
      <protection hidden="1"/>
    </xf>
    <xf numFmtId="9" fontId="4" fillId="0" borderId="0" xfId="2" applyFont="1" applyFill="1" applyBorder="1" applyAlignment="1" applyProtection="1">
      <alignment horizontal="right" vertical="center"/>
    </xf>
    <xf numFmtId="0" fontId="20" fillId="0" borderId="0" xfId="0" quotePrefix="1" applyFont="1" applyAlignment="1" applyProtection="1">
      <alignment horizontal="left" vertical="center" indent="1"/>
      <protection hidden="1"/>
    </xf>
    <xf numFmtId="0" fontId="61" fillId="0" borderId="0" xfId="0" applyFont="1" applyAlignment="1">
      <alignment horizontal="left" vertical="center" indent="1"/>
    </xf>
    <xf numFmtId="0" fontId="7" fillId="17" borderId="6" xfId="0" applyFont="1" applyFill="1" applyBorder="1" applyAlignment="1">
      <alignment horizontal="left" vertical="center" indent="1"/>
    </xf>
    <xf numFmtId="9" fontId="7" fillId="17" borderId="6" xfId="0" applyNumberFormat="1" applyFont="1" applyFill="1" applyBorder="1" applyAlignment="1">
      <alignment horizontal="center" vertical="center"/>
    </xf>
    <xf numFmtId="0" fontId="64" fillId="0" borderId="0" xfId="13" applyFont="1">
      <alignment vertical="center"/>
    </xf>
    <xf numFmtId="0" fontId="45" fillId="0" borderId="0" xfId="13" applyFont="1">
      <alignment vertical="center"/>
    </xf>
    <xf numFmtId="0" fontId="6" fillId="0" borderId="0" xfId="13">
      <alignment vertical="center"/>
    </xf>
    <xf numFmtId="0" fontId="67" fillId="0" borderId="0" xfId="13" applyFont="1" applyAlignment="1">
      <alignment vertical="top"/>
    </xf>
    <xf numFmtId="0" fontId="7" fillId="0" borderId="0" xfId="13" applyFont="1">
      <alignment vertical="center"/>
    </xf>
    <xf numFmtId="0" fontId="68" fillId="0" borderId="0" xfId="10" applyFont="1" applyAlignment="1">
      <alignment horizontal="center" vertical="center"/>
    </xf>
    <xf numFmtId="0" fontId="55" fillId="0" borderId="0" xfId="13" applyFont="1" applyAlignment="1">
      <alignment horizontal="center" vertical="center"/>
    </xf>
    <xf numFmtId="0" fontId="69" fillId="0" borderId="0" xfId="10" applyFont="1" applyAlignment="1">
      <alignment horizontal="center" vertical="center"/>
    </xf>
    <xf numFmtId="0" fontId="45" fillId="0" borderId="0" xfId="13" applyFont="1" applyAlignment="1">
      <alignment horizontal="center" vertical="center"/>
    </xf>
    <xf numFmtId="0" fontId="38" fillId="24" borderId="0" xfId="1" applyFont="1" applyFill="1" applyBorder="1" applyAlignment="1" applyProtection="1">
      <alignment horizontal="center" vertical="center"/>
    </xf>
    <xf numFmtId="0" fontId="6" fillId="25" borderId="0" xfId="7" applyFill="1">
      <alignment vertical="center"/>
    </xf>
    <xf numFmtId="0" fontId="70" fillId="24" borderId="0" xfId="1" applyFont="1" applyFill="1" applyBorder="1" applyAlignment="1" applyProtection="1">
      <alignment horizontal="center" vertical="center"/>
    </xf>
    <xf numFmtId="0" fontId="6" fillId="17" borderId="0" xfId="13" applyFill="1">
      <alignment vertical="center"/>
    </xf>
    <xf numFmtId="0" fontId="71" fillId="17" borderId="0" xfId="13" applyFont="1" applyFill="1" applyAlignment="1">
      <alignment horizontal="left" vertical="center" indent="1"/>
    </xf>
    <xf numFmtId="0" fontId="45" fillId="17" borderId="0" xfId="13" applyFont="1" applyFill="1">
      <alignment vertical="center"/>
    </xf>
    <xf numFmtId="0" fontId="64" fillId="17" borderId="0" xfId="13" applyFont="1" applyFill="1">
      <alignment vertical="center"/>
    </xf>
    <xf numFmtId="0" fontId="72" fillId="0" borderId="0" xfId="13" applyFont="1">
      <alignment vertical="center"/>
    </xf>
    <xf numFmtId="0" fontId="70" fillId="13" borderId="0" xfId="1" applyFont="1" applyFill="1" applyBorder="1" applyAlignment="1" applyProtection="1">
      <alignment horizontal="center" vertical="center"/>
    </xf>
    <xf numFmtId="0" fontId="74" fillId="0" borderId="0" xfId="10" applyFont="1" applyAlignment="1">
      <alignment horizontal="center" vertical="center"/>
    </xf>
    <xf numFmtId="0" fontId="75" fillId="0" borderId="0" xfId="13" applyFont="1" applyAlignment="1">
      <alignment horizontal="center" vertical="center"/>
    </xf>
    <xf numFmtId="0" fontId="70" fillId="27" borderId="0" xfId="1" applyFont="1" applyFill="1" applyBorder="1" applyAlignment="1" applyProtection="1">
      <alignment horizontal="center" vertical="center"/>
    </xf>
    <xf numFmtId="0" fontId="72" fillId="25" borderId="0" xfId="7" applyFont="1" applyFill="1">
      <alignment vertical="center"/>
    </xf>
    <xf numFmtId="0" fontId="70" fillId="28" borderId="0" xfId="1" applyFont="1" applyFill="1" applyBorder="1" applyAlignment="1" applyProtection="1">
      <alignment horizontal="center" vertical="center"/>
    </xf>
    <xf numFmtId="0" fontId="76" fillId="0" borderId="0" xfId="15" applyFont="1">
      <alignment vertical="center"/>
    </xf>
    <xf numFmtId="0" fontId="76" fillId="0" borderId="0" xfId="15" applyFont="1" applyAlignment="1">
      <alignment vertical="center" wrapText="1"/>
    </xf>
    <xf numFmtId="0" fontId="76" fillId="16" borderId="0" xfId="18" applyFont="1" applyFill="1" applyAlignment="1">
      <alignment vertical="top" wrapText="1"/>
    </xf>
    <xf numFmtId="0" fontId="76" fillId="17" borderId="0" xfId="18" applyFont="1" applyFill="1" applyAlignment="1">
      <alignment vertical="top" wrapText="1"/>
    </xf>
    <xf numFmtId="0" fontId="76" fillId="29" borderId="0" xfId="18" applyFont="1" applyFill="1" applyAlignment="1">
      <alignment vertical="top" wrapText="1"/>
    </xf>
    <xf numFmtId="0" fontId="76" fillId="14" borderId="0" xfId="18" applyFont="1" applyFill="1" applyAlignment="1">
      <alignment vertical="top" wrapText="1"/>
    </xf>
    <xf numFmtId="0" fontId="77" fillId="30" borderId="0" xfId="15" applyFont="1" applyFill="1">
      <alignment vertical="center"/>
    </xf>
    <xf numFmtId="0" fontId="78" fillId="0" borderId="0" xfId="15" applyFont="1">
      <alignment vertical="center"/>
    </xf>
    <xf numFmtId="0" fontId="79" fillId="0" borderId="0" xfId="15" applyFont="1">
      <alignment vertical="center"/>
    </xf>
    <xf numFmtId="0" fontId="82" fillId="0" borderId="8" xfId="15" applyFont="1" applyBorder="1" applyAlignment="1"/>
    <xf numFmtId="0" fontId="76" fillId="0" borderId="8" xfId="15" applyFont="1" applyBorder="1" applyAlignment="1">
      <alignment horizontal="left"/>
    </xf>
    <xf numFmtId="0" fontId="76" fillId="0" borderId="8" xfId="15" applyFont="1" applyBorder="1" applyAlignment="1"/>
    <xf numFmtId="0" fontId="76" fillId="0" borderId="0" xfId="19" applyFont="1" applyFill="1" applyBorder="1" applyAlignment="1" applyProtection="1">
      <alignment vertical="center"/>
    </xf>
    <xf numFmtId="0" fontId="81" fillId="0" borderId="0" xfId="15" applyFont="1" applyAlignment="1">
      <alignment horizontal="left" vertical="top"/>
    </xf>
    <xf numFmtId="0" fontId="82" fillId="0" borderId="0" xfId="15" applyFont="1" applyAlignment="1"/>
    <xf numFmtId="0" fontId="76" fillId="0" borderId="0" xfId="15" applyFont="1" applyAlignment="1"/>
    <xf numFmtId="0" fontId="84" fillId="0" borderId="0" xfId="0" applyFont="1" applyAlignment="1">
      <alignment horizontal="left" vertical="center"/>
    </xf>
    <xf numFmtId="0" fontId="20" fillId="0" borderId="0" xfId="0" applyFont="1" applyAlignment="1">
      <alignment vertical="center" wrapText="1"/>
    </xf>
    <xf numFmtId="0" fontId="85" fillId="0" borderId="0" xfId="0" applyFont="1" applyAlignment="1">
      <alignment horizontal="right" vertical="center"/>
    </xf>
    <xf numFmtId="169" fontId="7" fillId="5" borderId="3" xfId="0" applyNumberFormat="1" applyFont="1" applyFill="1" applyBorder="1" applyAlignment="1" applyProtection="1">
      <alignment horizontal="right" vertical="center"/>
      <protection hidden="1"/>
    </xf>
    <xf numFmtId="0" fontId="7" fillId="0" borderId="0" xfId="0" applyFont="1" applyAlignment="1" applyProtection="1">
      <alignment horizontal="right" vertical="center"/>
      <protection hidden="1"/>
    </xf>
    <xf numFmtId="0" fontId="31" fillId="6" borderId="5" xfId="1" applyFont="1" applyFill="1" applyBorder="1" applyAlignment="1" applyProtection="1">
      <alignment horizontal="center" vertical="center"/>
    </xf>
    <xf numFmtId="0" fontId="86" fillId="0" borderId="0" xfId="0" applyFont="1" applyProtection="1">
      <alignment vertical="center"/>
      <protection hidden="1"/>
    </xf>
    <xf numFmtId="165" fontId="18" fillId="32" borderId="3" xfId="0" applyNumberFormat="1" applyFont="1" applyFill="1" applyBorder="1" applyProtection="1">
      <alignment vertical="center"/>
      <protection locked="0"/>
    </xf>
    <xf numFmtId="0" fontId="87" fillId="0" borderId="0" xfId="0" applyFont="1" applyAlignment="1">
      <alignment horizontal="right" vertical="center"/>
    </xf>
    <xf numFmtId="164" fontId="87" fillId="0" borderId="0" xfId="0" applyNumberFormat="1" applyFont="1" applyAlignment="1" applyProtection="1">
      <alignment horizontal="right" vertical="center" wrapText="1"/>
      <protection hidden="1"/>
    </xf>
    <xf numFmtId="0" fontId="46" fillId="0" borderId="0" xfId="0" quotePrefix="1" applyFont="1">
      <alignment vertical="center"/>
    </xf>
    <xf numFmtId="0" fontId="46" fillId="0" borderId="0" xfId="0" quotePrefix="1" applyFont="1" applyAlignment="1">
      <alignment horizontal="center" vertical="center"/>
    </xf>
    <xf numFmtId="0" fontId="88" fillId="0" borderId="0" xfId="15" applyFont="1">
      <alignment vertical="center"/>
    </xf>
    <xf numFmtId="0" fontId="89" fillId="0" borderId="0" xfId="15" applyFont="1">
      <alignment vertical="center"/>
    </xf>
    <xf numFmtId="0" fontId="90" fillId="33" borderId="0" xfId="15" applyFont="1" applyFill="1">
      <alignment vertical="center"/>
    </xf>
    <xf numFmtId="0" fontId="76" fillId="33" borderId="0" xfId="15" applyFont="1" applyFill="1">
      <alignment vertical="center"/>
    </xf>
    <xf numFmtId="0" fontId="18" fillId="10" borderId="3" xfId="0" applyFont="1" applyFill="1" applyBorder="1" applyAlignment="1" applyProtection="1">
      <alignment horizontal="right" vertical="center"/>
      <protection locked="0"/>
    </xf>
    <xf numFmtId="14" fontId="18" fillId="11" borderId="3" xfId="0" applyNumberFormat="1" applyFont="1" applyFill="1" applyBorder="1" applyProtection="1">
      <alignment vertical="center"/>
      <protection locked="0"/>
    </xf>
    <xf numFmtId="0" fontId="18" fillId="32" borderId="3" xfId="0" applyFont="1" applyFill="1" applyBorder="1" applyAlignment="1" applyProtection="1">
      <alignment horizontal="right" vertical="center"/>
      <protection locked="0"/>
    </xf>
    <xf numFmtId="14" fontId="18" fillId="32" borderId="3" xfId="0" applyNumberFormat="1" applyFont="1" applyFill="1" applyBorder="1" applyProtection="1">
      <alignment vertical="center"/>
      <protection locked="0"/>
    </xf>
    <xf numFmtId="0" fontId="46" fillId="34" borderId="0" xfId="0" applyFont="1" applyFill="1" applyAlignment="1" applyProtection="1">
      <alignment horizontal="center" vertical="center"/>
      <protection locked="0"/>
    </xf>
    <xf numFmtId="0" fontId="46" fillId="14" borderId="0" xfId="0" applyFont="1" applyFill="1">
      <alignment vertical="center"/>
    </xf>
    <xf numFmtId="14" fontId="46" fillId="14" borderId="0" xfId="0" applyNumberFormat="1" applyFont="1" applyFill="1">
      <alignment vertical="center"/>
    </xf>
    <xf numFmtId="0" fontId="91" fillId="14" borderId="0" xfId="0" applyFont="1" applyFill="1">
      <alignment vertical="center"/>
    </xf>
    <xf numFmtId="14" fontId="46" fillId="30" borderId="0" xfId="0" applyNumberFormat="1" applyFont="1" applyFill="1">
      <alignment vertical="center"/>
    </xf>
    <xf numFmtId="14" fontId="46" fillId="35" borderId="0" xfId="0" applyNumberFormat="1" applyFont="1" applyFill="1">
      <alignment vertical="center"/>
    </xf>
    <xf numFmtId="0" fontId="54" fillId="33" borderId="0" xfId="2" applyNumberFormat="1" applyFont="1" applyFill="1" applyBorder="1" applyAlignment="1" applyProtection="1">
      <alignment horizontal="center" vertical="center"/>
      <protection hidden="1"/>
    </xf>
    <xf numFmtId="167" fontId="54" fillId="33" borderId="0" xfId="2" applyNumberFormat="1" applyFont="1" applyFill="1" applyBorder="1" applyAlignment="1" applyProtection="1">
      <alignment horizontal="center" vertical="center"/>
      <protection hidden="1"/>
    </xf>
    <xf numFmtId="10" fontId="21" fillId="0" borderId="0" xfId="0" applyNumberFormat="1" applyFont="1" applyProtection="1">
      <alignment vertical="center"/>
      <protection hidden="1"/>
    </xf>
    <xf numFmtId="172" fontId="21" fillId="0" borderId="0" xfId="0" applyNumberFormat="1" applyFont="1" applyProtection="1">
      <alignment vertical="center"/>
      <protection hidden="1"/>
    </xf>
    <xf numFmtId="172" fontId="7" fillId="0" borderId="0" xfId="0" applyNumberFormat="1" applyFont="1" applyProtection="1">
      <alignment vertical="center"/>
      <protection hidden="1"/>
    </xf>
    <xf numFmtId="166" fontId="7" fillId="0" borderId="0" xfId="12" applyNumberFormat="1" applyFont="1" applyAlignment="1" applyProtection="1">
      <alignment vertical="center"/>
      <protection hidden="1"/>
    </xf>
    <xf numFmtId="0" fontId="92" fillId="0" borderId="0" xfId="0" applyFont="1" applyProtection="1">
      <alignment vertical="center"/>
      <protection hidden="1"/>
    </xf>
    <xf numFmtId="0" fontId="93" fillId="0" borderId="0" xfId="0" applyFont="1" applyProtection="1">
      <alignment vertical="center"/>
      <protection hidden="1"/>
    </xf>
    <xf numFmtId="0" fontId="92" fillId="0" borderId="0" xfId="0" applyFont="1" applyAlignment="1" applyProtection="1">
      <alignment horizontal="right" vertical="center"/>
      <protection hidden="1"/>
    </xf>
    <xf numFmtId="10" fontId="92" fillId="0" borderId="0" xfId="0" applyNumberFormat="1" applyFont="1" applyAlignment="1" applyProtection="1">
      <alignment horizontal="right" vertical="center"/>
      <protection hidden="1"/>
    </xf>
    <xf numFmtId="0" fontId="0" fillId="20" borderId="0" xfId="0" applyFill="1">
      <alignment vertical="center"/>
    </xf>
    <xf numFmtId="0" fontId="7" fillId="20" borderId="0" xfId="0" applyFont="1" applyFill="1" applyProtection="1">
      <alignment vertical="center"/>
      <protection hidden="1"/>
    </xf>
    <xf numFmtId="0" fontId="0" fillId="20" borderId="0" xfId="0" applyFill="1" applyAlignment="1">
      <alignment vertical="top"/>
    </xf>
    <xf numFmtId="0" fontId="15" fillId="20" borderId="0" xfId="0" applyFont="1" applyFill="1" applyProtection="1">
      <alignment vertical="center"/>
      <protection hidden="1"/>
    </xf>
    <xf numFmtId="0" fontId="73" fillId="17" borderId="17" xfId="13" applyFont="1" applyFill="1" applyBorder="1" applyAlignment="1">
      <alignment horizontal="left" vertical="center" indent="1"/>
    </xf>
    <xf numFmtId="0" fontId="64" fillId="17" borderId="18" xfId="13" applyFont="1" applyFill="1" applyBorder="1">
      <alignment vertical="center"/>
    </xf>
    <xf numFmtId="0" fontId="94" fillId="17" borderId="18" xfId="13" applyFont="1" applyFill="1" applyBorder="1">
      <alignment vertical="center"/>
    </xf>
    <xf numFmtId="0" fontId="95" fillId="36" borderId="19" xfId="1" applyFont="1" applyFill="1" applyBorder="1" applyAlignment="1" applyProtection="1">
      <alignment horizontal="center" vertical="center"/>
    </xf>
    <xf numFmtId="0" fontId="71" fillId="17" borderId="20" xfId="13" applyFont="1" applyFill="1" applyBorder="1" applyAlignment="1">
      <alignment horizontal="left" vertical="center" indent="1"/>
    </xf>
    <xf numFmtId="0" fontId="49" fillId="17" borderId="21" xfId="10" applyFont="1" applyFill="1" applyBorder="1" applyAlignment="1">
      <alignment horizontal="center"/>
    </xf>
    <xf numFmtId="0" fontId="45" fillId="17" borderId="21" xfId="13" applyFont="1" applyFill="1" applyBorder="1">
      <alignment vertical="center"/>
    </xf>
    <xf numFmtId="0" fontId="64" fillId="17" borderId="21" xfId="13" applyFont="1" applyFill="1" applyBorder="1">
      <alignment vertical="center"/>
    </xf>
    <xf numFmtId="0" fontId="6" fillId="17" borderId="20" xfId="13" applyFill="1" applyBorder="1">
      <alignment vertical="center"/>
    </xf>
    <xf numFmtId="0" fontId="6" fillId="17" borderId="21" xfId="13" applyFill="1" applyBorder="1">
      <alignment vertical="center"/>
    </xf>
    <xf numFmtId="0" fontId="98" fillId="17" borderId="21" xfId="13" applyFont="1" applyFill="1" applyBorder="1" applyAlignment="1">
      <alignment horizontal="left" vertical="center" indent="2"/>
    </xf>
    <xf numFmtId="0" fontId="98" fillId="17" borderId="24" xfId="13" applyFont="1" applyFill="1" applyBorder="1" applyAlignment="1">
      <alignment horizontal="left" vertical="center" indent="2"/>
    </xf>
    <xf numFmtId="0" fontId="73" fillId="17" borderId="0" xfId="13" applyFont="1" applyFill="1" applyAlignment="1">
      <alignment horizontal="left" vertical="center" indent="1"/>
    </xf>
    <xf numFmtId="0" fontId="94" fillId="17" borderId="0" xfId="13" applyFont="1" applyFill="1">
      <alignment vertical="center"/>
    </xf>
    <xf numFmtId="0" fontId="98" fillId="17" borderId="0" xfId="13" applyFont="1" applyFill="1" applyAlignment="1">
      <alignment horizontal="left" vertical="center" indent="2"/>
    </xf>
    <xf numFmtId="0" fontId="49" fillId="17" borderId="17" xfId="13" applyFont="1" applyFill="1" applyBorder="1" applyAlignment="1">
      <alignment horizontal="left" vertical="center" indent="1"/>
    </xf>
    <xf numFmtId="0" fontId="95" fillId="37" borderId="19" xfId="1" applyFont="1" applyFill="1" applyBorder="1" applyAlignment="1" applyProtection="1">
      <alignment horizontal="center" vertical="center"/>
    </xf>
    <xf numFmtId="0" fontId="101" fillId="17" borderId="21" xfId="13" applyFont="1" applyFill="1" applyBorder="1" applyAlignment="1">
      <alignment horizontal="left" vertical="center" indent="2"/>
    </xf>
    <xf numFmtId="0" fontId="101" fillId="17" borderId="24" xfId="13" applyFont="1" applyFill="1" applyBorder="1" applyAlignment="1">
      <alignment horizontal="left" vertical="center" indent="2"/>
    </xf>
    <xf numFmtId="0" fontId="49" fillId="17" borderId="0" xfId="13" applyFont="1" applyFill="1" applyAlignment="1">
      <alignment horizontal="left" vertical="center" indent="1"/>
    </xf>
    <xf numFmtId="0" fontId="101" fillId="17" borderId="0" xfId="13" applyFont="1" applyFill="1" applyAlignment="1">
      <alignment horizontal="left" vertical="center" indent="2"/>
    </xf>
    <xf numFmtId="0" fontId="103" fillId="0" borderId="8" xfId="15" applyFont="1" applyBorder="1" applyAlignment="1">
      <alignment vertical="top"/>
    </xf>
    <xf numFmtId="0" fontId="103" fillId="0" borderId="8" xfId="15" applyFont="1" applyBorder="1" applyAlignment="1">
      <alignment vertical="top" wrapText="1"/>
    </xf>
    <xf numFmtId="0" fontId="103" fillId="20" borderId="8" xfId="15" applyFont="1" applyFill="1" applyBorder="1" applyAlignment="1">
      <alignment horizontal="left"/>
    </xf>
    <xf numFmtId="0" fontId="103" fillId="0" borderId="8" xfId="15" applyFont="1" applyBorder="1" applyAlignment="1">
      <alignment horizontal="left" vertical="top"/>
    </xf>
    <xf numFmtId="0" fontId="103" fillId="0" borderId="8" xfId="15" applyFont="1" applyBorder="1" applyAlignment="1">
      <alignment horizontal="left" vertical="top" wrapText="1"/>
    </xf>
    <xf numFmtId="14" fontId="46" fillId="34" borderId="0" xfId="0" applyNumberFormat="1" applyFont="1" applyFill="1">
      <alignment vertical="center"/>
    </xf>
    <xf numFmtId="0" fontId="104" fillId="0" borderId="0" xfId="0" applyFont="1">
      <alignment vertical="center"/>
    </xf>
    <xf numFmtId="0" fontId="105" fillId="0" borderId="0" xfId="15" applyFont="1">
      <alignment vertical="center"/>
    </xf>
    <xf numFmtId="0" fontId="105" fillId="0" borderId="8" xfId="15" applyFont="1" applyBorder="1" applyAlignment="1"/>
    <xf numFmtId="0" fontId="105" fillId="0" borderId="8" xfId="15" applyFont="1" applyBorder="1" applyAlignment="1">
      <alignment horizontal="left"/>
    </xf>
    <xf numFmtId="0" fontId="105" fillId="20" borderId="8" xfId="15" applyFont="1" applyFill="1" applyBorder="1" applyAlignment="1">
      <alignment horizontal="left"/>
    </xf>
    <xf numFmtId="0" fontId="105" fillId="0" borderId="8" xfId="15" applyFont="1" applyBorder="1" applyAlignment="1">
      <alignment vertical="top"/>
    </xf>
    <xf numFmtId="0" fontId="105" fillId="0" borderId="8" xfId="15" applyFont="1" applyBorder="1" applyAlignment="1">
      <alignment vertical="top" wrapText="1"/>
    </xf>
    <xf numFmtId="0" fontId="105" fillId="0" borderId="8" xfId="15" applyFont="1" applyBorder="1" applyAlignment="1">
      <alignment horizontal="left" vertical="top"/>
    </xf>
    <xf numFmtId="0" fontId="105" fillId="0" borderId="8" xfId="15" applyFont="1" applyBorder="1" applyAlignment="1">
      <alignment horizontal="left" vertical="top" wrapText="1"/>
    </xf>
    <xf numFmtId="171" fontId="73" fillId="0" borderId="0" xfId="17" applyNumberFormat="1" applyFont="1" applyAlignment="1">
      <alignment horizontal="left"/>
    </xf>
    <xf numFmtId="0" fontId="66" fillId="26" borderId="0" xfId="15" applyFont="1" applyFill="1" applyAlignment="1">
      <alignment horizontal="center" vertical="center"/>
    </xf>
    <xf numFmtId="0" fontId="73" fillId="17" borderId="20" xfId="1" applyFont="1" applyFill="1" applyBorder="1" applyAlignment="1" applyProtection="1">
      <alignment horizontal="left" vertical="center" wrapText="1" indent="1"/>
    </xf>
    <xf numFmtId="0" fontId="73" fillId="17" borderId="0" xfId="1" applyFont="1" applyFill="1" applyBorder="1" applyAlignment="1" applyProtection="1">
      <alignment horizontal="left" vertical="center" wrapText="1" indent="1"/>
    </xf>
    <xf numFmtId="0" fontId="73" fillId="17" borderId="22" xfId="1" applyFont="1" applyFill="1" applyBorder="1" applyAlignment="1" applyProtection="1">
      <alignment horizontal="left" vertical="center" wrapText="1" indent="1"/>
    </xf>
    <xf numFmtId="0" fontId="73" fillId="17" borderId="23" xfId="1" applyFont="1" applyFill="1" applyBorder="1" applyAlignment="1" applyProtection="1">
      <alignment horizontal="left" vertical="center" wrapText="1" indent="1"/>
    </xf>
    <xf numFmtId="170" fontId="65" fillId="0" borderId="0" xfId="14" applyNumberFormat="1" applyFont="1" applyAlignment="1">
      <alignment horizontal="right" indent="1"/>
    </xf>
    <xf numFmtId="0" fontId="66" fillId="23" borderId="0" xfId="15" applyFont="1" applyFill="1" applyAlignment="1">
      <alignment horizontal="center" vertical="center" wrapText="1"/>
    </xf>
    <xf numFmtId="0" fontId="66" fillId="23" borderId="0" xfId="15" applyFont="1" applyFill="1" applyAlignment="1">
      <alignment horizontal="center" vertical="center"/>
    </xf>
    <xf numFmtId="0" fontId="83" fillId="0" borderId="0" xfId="13" applyFont="1" applyAlignment="1">
      <alignment horizontal="center" vertical="top"/>
    </xf>
    <xf numFmtId="0" fontId="49" fillId="17" borderId="20" xfId="1" applyFont="1" applyFill="1" applyBorder="1" applyAlignment="1" applyProtection="1">
      <alignment horizontal="left" vertical="center" wrapText="1" indent="1"/>
    </xf>
    <xf numFmtId="0" fontId="49" fillId="17" borderId="0" xfId="1" applyFont="1" applyFill="1" applyBorder="1" applyAlignment="1" applyProtection="1">
      <alignment horizontal="left" vertical="center" wrapText="1" indent="1"/>
    </xf>
    <xf numFmtId="0" fontId="49" fillId="17" borderId="22" xfId="1" applyFont="1" applyFill="1" applyBorder="1" applyAlignment="1" applyProtection="1">
      <alignment horizontal="left" vertical="center" wrapText="1" indent="1"/>
    </xf>
    <xf numFmtId="0" fontId="49" fillId="17" borderId="23" xfId="1" applyFont="1" applyFill="1" applyBorder="1" applyAlignment="1" applyProtection="1">
      <alignment horizontal="left" vertical="center" wrapText="1" indent="1"/>
    </xf>
    <xf numFmtId="0" fontId="57" fillId="21" borderId="6" xfId="0" applyFont="1" applyFill="1" applyBorder="1" applyAlignment="1" applyProtection="1">
      <alignment horizontal="center" vertical="center"/>
      <protection hidden="1"/>
    </xf>
    <xf numFmtId="0" fontId="57" fillId="21" borderId="6" xfId="0" applyFont="1" applyFill="1" applyBorder="1" applyAlignment="1" applyProtection="1">
      <alignment horizontal="center" vertical="center" wrapText="1"/>
      <protection hidden="1"/>
    </xf>
    <xf numFmtId="0" fontId="62" fillId="0" borderId="0" xfId="0" applyFont="1" applyAlignment="1">
      <alignment horizontal="left" vertical="top" wrapText="1" indent="1"/>
    </xf>
    <xf numFmtId="0" fontId="35" fillId="9" borderId="0" xfId="6" applyFont="1" applyFill="1" applyAlignment="1">
      <alignment horizontal="center" vertical="center"/>
    </xf>
    <xf numFmtId="0" fontId="7" fillId="0" borderId="0" xfId="0" applyFont="1" applyAlignment="1">
      <alignment vertical="top" wrapText="1"/>
    </xf>
    <xf numFmtId="0" fontId="7" fillId="0" borderId="0" xfId="0" applyFont="1" applyAlignment="1">
      <alignment horizontal="left" vertical="center" wrapText="1" indent="1"/>
    </xf>
    <xf numFmtId="0" fontId="84" fillId="0" borderId="16" xfId="0" applyFont="1" applyBorder="1" applyAlignment="1">
      <alignment horizontal="left" vertical="center" wrapText="1" indent="1"/>
    </xf>
    <xf numFmtId="0" fontId="84" fillId="0" borderId="0" xfId="0" applyFont="1" applyAlignment="1">
      <alignment horizontal="left" vertical="center" wrapText="1" indent="1"/>
    </xf>
    <xf numFmtId="0" fontId="49" fillId="21" borderId="6" xfId="0" applyFont="1" applyFill="1" applyBorder="1" applyAlignment="1" applyProtection="1">
      <alignment horizontal="center" vertical="center"/>
      <protection hidden="1"/>
    </xf>
    <xf numFmtId="0" fontId="35" fillId="9" borderId="0" xfId="0" applyFont="1" applyFill="1" applyAlignment="1" applyProtection="1">
      <alignment horizontal="center" vertical="center"/>
      <protection hidden="1"/>
    </xf>
    <xf numFmtId="0" fontId="46" fillId="0" borderId="0" xfId="0" applyFont="1" applyAlignment="1" applyProtection="1">
      <alignment horizontal="center" vertical="center"/>
      <protection hidden="1"/>
    </xf>
    <xf numFmtId="171" fontId="65" fillId="0" borderId="0" xfId="14" applyNumberFormat="1" applyFont="1" applyAlignment="1">
      <alignment horizontal="right" indent="1"/>
    </xf>
    <xf numFmtId="0" fontId="7" fillId="0" borderId="0" xfId="0" applyFont="1" applyAlignment="1">
      <alignment horizontal="left" vertical="center" wrapText="1"/>
    </xf>
    <xf numFmtId="170" fontId="73" fillId="0" borderId="0" xfId="16" applyNumberFormat="1" applyFont="1" applyAlignment="1">
      <alignment horizontal="left"/>
    </xf>
    <xf numFmtId="0" fontId="66" fillId="26" borderId="0" xfId="15" applyFont="1" applyFill="1" applyAlignment="1">
      <alignment horizontal="center" vertical="center" wrapText="1"/>
    </xf>
    <xf numFmtId="0" fontId="35" fillId="26" borderId="0" xfId="0" applyFont="1" applyFill="1" applyAlignment="1" applyProtection="1">
      <alignment horizontal="center" vertical="center"/>
      <protection hidden="1"/>
    </xf>
    <xf numFmtId="0" fontId="106" fillId="31" borderId="10" xfId="15" applyFont="1" applyFill="1" applyBorder="1" applyAlignment="1">
      <alignment horizontal="center"/>
    </xf>
    <xf numFmtId="0" fontId="106" fillId="31" borderId="11" xfId="15" applyFont="1" applyFill="1" applyBorder="1" applyAlignment="1">
      <alignment horizontal="center"/>
    </xf>
    <xf numFmtId="0" fontId="106" fillId="31" borderId="12" xfId="15" applyFont="1" applyFill="1" applyBorder="1" applyAlignment="1">
      <alignment horizontal="center"/>
    </xf>
    <xf numFmtId="0" fontId="76" fillId="0" borderId="0" xfId="15" applyFont="1" applyAlignment="1">
      <alignment horizontal="left" vertical="center" wrapText="1"/>
    </xf>
    <xf numFmtId="0" fontId="76" fillId="16" borderId="0" xfId="15" applyFont="1" applyFill="1" applyAlignment="1">
      <alignment horizontal="left" vertical="center" wrapText="1" indent="1"/>
    </xf>
    <xf numFmtId="0" fontId="76" fillId="17" borderId="0" xfId="19" applyFont="1" applyFill="1" applyBorder="1" applyAlignment="1" applyProtection="1">
      <alignment horizontal="left" vertical="center" wrapText="1" indent="1"/>
    </xf>
    <xf numFmtId="0" fontId="76" fillId="17" borderId="0" xfId="15" applyFont="1" applyFill="1" applyAlignment="1">
      <alignment horizontal="left" vertical="center" wrapText="1" indent="1"/>
    </xf>
    <xf numFmtId="0" fontId="76" fillId="29" borderId="0" xfId="19" applyFont="1" applyFill="1" applyBorder="1" applyAlignment="1" applyProtection="1">
      <alignment horizontal="left" vertical="center" wrapText="1" indent="1"/>
    </xf>
    <xf numFmtId="0" fontId="76" fillId="14" borderId="0" xfId="15" applyFont="1" applyFill="1" applyAlignment="1">
      <alignment horizontal="left" vertical="center" wrapText="1" indent="1"/>
    </xf>
    <xf numFmtId="0" fontId="106" fillId="0" borderId="13" xfId="15" applyFont="1" applyBorder="1" applyAlignment="1">
      <alignment horizontal="left" vertical="top"/>
    </xf>
    <xf numFmtId="0" fontId="106" fillId="0" borderId="14" xfId="15" applyFont="1" applyBorder="1" applyAlignment="1">
      <alignment horizontal="left" vertical="top"/>
    </xf>
    <xf numFmtId="0" fontId="106" fillId="0" borderId="15" xfId="15" applyFont="1" applyBorder="1" applyAlignment="1">
      <alignment horizontal="left" vertical="top"/>
    </xf>
    <xf numFmtId="0" fontId="80" fillId="20" borderId="10" xfId="15" applyFont="1" applyFill="1" applyBorder="1" applyAlignment="1">
      <alignment horizontal="center"/>
    </xf>
    <xf numFmtId="0" fontId="80" fillId="20" borderId="11" xfId="15" applyFont="1" applyFill="1" applyBorder="1" applyAlignment="1">
      <alignment horizontal="center"/>
    </xf>
    <xf numFmtId="0" fontId="80" fillId="20" borderId="12" xfId="15" applyFont="1" applyFill="1" applyBorder="1" applyAlignment="1">
      <alignment horizontal="center"/>
    </xf>
    <xf numFmtId="0" fontId="81" fillId="0" borderId="13" xfId="15" applyFont="1" applyBorder="1" applyAlignment="1">
      <alignment horizontal="left" vertical="top"/>
    </xf>
    <xf numFmtId="0" fontId="81" fillId="0" borderId="14" xfId="15" applyFont="1" applyBorder="1" applyAlignment="1">
      <alignment horizontal="left" vertical="top"/>
    </xf>
    <xf numFmtId="0" fontId="81" fillId="0" borderId="15" xfId="15" applyFont="1" applyBorder="1" applyAlignment="1">
      <alignment horizontal="left" vertical="top"/>
    </xf>
  </cellXfs>
  <cellStyles count="20">
    <cellStyle name="Comma" xfId="11" builtinId="3"/>
    <cellStyle name="Hyperlink" xfId="1" builtinId="8"/>
    <cellStyle name="Hyperlink 2" xfId="5" xr:uid="{00000000-0005-0000-0000-000001000000}"/>
    <cellStyle name="Hyperlink 2 2 2" xfId="19" xr:uid="{3D48B477-3714-4CDB-960C-E87485B07EE1}"/>
    <cellStyle name="Normal" xfId="0" builtinId="0"/>
    <cellStyle name="Normal 2" xfId="6" xr:uid="{00000000-0005-0000-0000-000003000000}"/>
    <cellStyle name="Normal 2 2" xfId="7" xr:uid="{00000000-0005-0000-0000-000004000000}"/>
    <cellStyle name="Normal 2 2 2" xfId="8" xr:uid="{00000000-0005-0000-0000-000005000000}"/>
    <cellStyle name="Normal 2 2 2 2" xfId="9" xr:uid="{00000000-0005-0000-0000-000006000000}"/>
    <cellStyle name="Normal 2 2 2 3" xfId="13" xr:uid="{DA4C5D35-76B3-4DE7-A516-A5149222D7F5}"/>
    <cellStyle name="Normal 2 3" xfId="10" xr:uid="{00000000-0005-0000-0000-000007000000}"/>
    <cellStyle name="Normal 3 2 2" xfId="15" xr:uid="{6C9C205F-C386-45A8-A76B-311804CF539E}"/>
    <cellStyle name="Normal 3 5" xfId="18" xr:uid="{4CCA7751-B205-496D-9478-57FED6D43CB2}"/>
    <cellStyle name="Normal 4" xfId="3" xr:uid="{00000000-0005-0000-0000-000008000000}"/>
    <cellStyle name="Normal 5" xfId="4" xr:uid="{00000000-0005-0000-0000-000009000000}"/>
    <cellStyle name="Normal 5 3" xfId="14" xr:uid="{E4E86902-39B9-42AE-BD85-4A21376BFE51}"/>
    <cellStyle name="Normal 5 3 2 2" xfId="17" xr:uid="{BD1BFC8E-B1D6-4F87-A64B-2EF8B10D1747}"/>
    <cellStyle name="Normal 5 3 3" xfId="16" xr:uid="{2D9705E9-FD06-4A0E-B12B-677601A55B53}"/>
    <cellStyle name="Percent" xfId="12" builtinId="5"/>
    <cellStyle name="Percent 2" xfId="2" xr:uid="{00000000-0005-0000-0000-00000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00CED1"/>
      <color rgb="FF4B0082"/>
      <color rgb="FF00CED0"/>
      <color rgb="FF5F5F5A"/>
      <color rgb="FF91918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Drop" dropLines="4" dropStyle="combo" dx="22" fmlaLink="calc!$B$22" fmlaRange="calc!$E$24:$E$27" sel="1" val="0"/>
</file>

<file path=xl/ctrlProps/ctrlProp2.xml><?xml version="1.0" encoding="utf-8"?>
<formControlPr xmlns="http://schemas.microsoft.com/office/spreadsheetml/2009/9/main" objectType="Drop" dropLines="10" dropStyle="combo" dx="22" fmlaLink="calc!$B$10" fmlaRange="calc!$D$10:$D$19" sel="7" val="0"/>
</file>

<file path=xl/ctrlProps/ctrlProp3.xml><?xml version="1.0" encoding="utf-8"?>
<formControlPr xmlns="http://schemas.microsoft.com/office/spreadsheetml/2009/9/main" objectType="Drop" dropLines="4" dropStyle="combo" dx="22" fmlaLink="calcFR!$B$22" fmlaRange="calcFR!$E$24:$E$27" sel="1" val="0"/>
</file>

<file path=xl/ctrlProps/ctrlProp4.xml><?xml version="1.0" encoding="utf-8"?>
<formControlPr xmlns="http://schemas.microsoft.com/office/spreadsheetml/2009/9/main" objectType="Drop" dropLines="10" dropStyle="combo" dx="22" fmlaLink="calcFR!$B$10" fmlaRange="calcFR!$D$10:$D$19" sel="7" val="0"/>
</file>

<file path=xl/ctrlProps/ctrlProp5.xml><?xml version="1.0" encoding="utf-8"?>
<formControlPr xmlns="http://schemas.microsoft.com/office/spreadsheetml/2009/9/main" objectType="Drop" dropLines="10" dropStyle="combo" dx="22" fmlaLink="calcB!$B$10" fmlaRange="calcB!$D$10:$D$19" sel="7" val="0"/>
</file>

<file path=xl/ctrlProps/ctrlProp6.xml><?xml version="1.0" encoding="utf-8"?>
<formControlPr xmlns="http://schemas.microsoft.com/office/spreadsheetml/2009/9/main" objectType="Drop" dropLines="10" dropStyle="combo" dx="22" fmlaLink="calcFRB!$B$10" fmlaRange="calcFRB!$D$10:$D$19" sel="7" val="0"/>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14</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239000" cy="2228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Naast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-uitstoot houdt men ook rekening met de cataloguswaarde en de ouderdom van de auto om het voordeel alle aard te berekenen.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Gebruik deze rekentool om na te gaan hoeveel het voordeel gratis auto bedraagt voor de jaren 202</a:t>
          </a:r>
          <a:r>
            <a:rPr lang="en-BE" sz="1200" baseline="0">
              <a:latin typeface="Tahoma" panose="020B0604030504040204" pitchFamily="34" charset="0"/>
              <a:ea typeface="Tahoma" panose="020B0604030504040204" pitchFamily="34" charset="0"/>
              <a:cs typeface="Tahoma" panose="020B0604030504040204" pitchFamily="34" charset="0"/>
            </a:rPr>
            <a:t>3</a:t>
          </a: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tot 2026</a:t>
          </a:r>
          <a:r>
            <a:rPr lang="nl-BE" sz="1200" baseline="0">
              <a:latin typeface="Tahoma" panose="020B0604030504040204" pitchFamily="34" charset="0"/>
              <a:ea typeface="Tahoma" panose="020B0604030504040204" pitchFamily="34" charset="0"/>
              <a:cs typeface="Tahoma" panose="020B0604030504040204" pitchFamily="34" charset="0"/>
            </a:rPr>
            <a:t>. We berekenen de bedragen per maand.</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8</xdr:col>
      <xdr:colOff>0</xdr:colOff>
      <xdr:row>2</xdr:row>
      <xdr:rowOff>0</xdr:rowOff>
    </xdr:from>
    <xdr:to>
      <xdr:col>19</xdr:col>
      <xdr:colOff>0</xdr:colOff>
      <xdr:row>5</xdr:row>
      <xdr:rowOff>0</xdr:rowOff>
    </xdr:to>
    <xdr:sp macro="" textlink="OODNL">
      <xdr:nvSpPr>
        <xdr:cNvPr id="5" name="TextBox 4">
          <a:extLst>
            <a:ext uri="{FF2B5EF4-FFF2-40B4-BE49-F238E27FC236}">
              <a16:creationId xmlns:a16="http://schemas.microsoft.com/office/drawing/2014/main" id="{00000000-0008-0000-0000-000005000000}"/>
            </a:ext>
          </a:extLst>
        </xdr:cNvPr>
        <xdr:cNvSpPr txBox="1"/>
      </xdr:nvSpPr>
      <xdr:spPr>
        <a:xfrm>
          <a:off x="8382000" y="10001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3AFB4A08-4E0F-4378-BB81-FE8445D9C941}"/>
            </a:ext>
          </a:extLst>
        </xdr:cNvPr>
        <xdr:cNvSpPr/>
      </xdr:nvSpPr>
      <xdr:spPr bwMode="auto">
        <a:xfrm flipH="1">
          <a:off x="7305675" y="63150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5</xdr:row>
          <xdr:rowOff>0</xdr:rowOff>
        </xdr:from>
        <xdr:to>
          <xdr:col>7</xdr:col>
          <xdr:colOff>30480</xdr:colOff>
          <xdr:row>6</xdr:row>
          <xdr:rowOff>0</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C00-0000029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13</xdr:col>
      <xdr:colOff>0</xdr:colOff>
      <xdr:row>1</xdr:row>
      <xdr:rowOff>0</xdr:rowOff>
    </xdr:from>
    <xdr:to>
      <xdr:col>24</xdr:col>
      <xdr:colOff>0</xdr:colOff>
      <xdr:row>5</xdr:row>
      <xdr:rowOff>95250</xdr:rowOff>
    </xdr:to>
    <xdr:sp macro="" textlink="OODFR">
      <xdr:nvSpPr>
        <xdr:cNvPr id="2" name="TextBox 1">
          <a:extLst>
            <a:ext uri="{FF2B5EF4-FFF2-40B4-BE49-F238E27FC236}">
              <a16:creationId xmlns:a16="http://schemas.microsoft.com/office/drawing/2014/main" id="{00000000-0008-0000-0C00-000002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1</xdr:row>
      <xdr:rowOff>0</xdr:rowOff>
    </xdr:from>
    <xdr:to>
      <xdr:col>26</xdr:col>
      <xdr:colOff>0</xdr:colOff>
      <xdr:row>3</xdr:row>
      <xdr:rowOff>295275</xdr:rowOff>
    </xdr:to>
    <xdr:sp macro="" textlink="OODNL">
      <xdr:nvSpPr>
        <xdr:cNvPr id="3" name="TextBox 2">
          <a:extLst>
            <a:ext uri="{FF2B5EF4-FFF2-40B4-BE49-F238E27FC236}">
              <a16:creationId xmlns:a16="http://schemas.microsoft.com/office/drawing/2014/main" id="{00000000-0008-0000-0100-000003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4</xdr:row>
          <xdr:rowOff>7620</xdr:rowOff>
        </xdr:from>
        <xdr:to>
          <xdr:col>7</xdr:col>
          <xdr:colOff>30480</xdr:colOff>
          <xdr:row>5</xdr:row>
          <xdr:rowOff>0</xdr:rowOff>
        </xdr:to>
        <xdr:sp macro="" textlink="">
          <xdr:nvSpPr>
            <xdr:cNvPr id="10269" name="Drop Down 29" hidden="1">
              <a:extLst>
                <a:ext uri="{63B3BB69-23CF-44E3-9099-C40C66FF867C}">
                  <a14:compatExt spid="_x0000_s10269"/>
                </a:ext>
                <a:ext uri="{FF2B5EF4-FFF2-40B4-BE49-F238E27FC236}">
                  <a16:creationId xmlns:a16="http://schemas.microsoft.com/office/drawing/2014/main" id="{00000000-0008-0000-0200-00001D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xdr:row>
          <xdr:rowOff>0</xdr:rowOff>
        </xdr:from>
        <xdr:to>
          <xdr:col>7</xdr:col>
          <xdr:colOff>30480</xdr:colOff>
          <xdr:row>6</xdr:row>
          <xdr:rowOff>0</xdr:rowOff>
        </xdr:to>
        <xdr:sp macro="" textlink="">
          <xdr:nvSpPr>
            <xdr:cNvPr id="10273" name="Drop Down 33" hidden="1">
              <a:extLst>
                <a:ext uri="{63B3BB69-23CF-44E3-9099-C40C66FF867C}">
                  <a14:compatExt spid="_x0000_s10273"/>
                </a:ext>
                <a:ext uri="{FF2B5EF4-FFF2-40B4-BE49-F238E27FC236}">
                  <a16:creationId xmlns:a16="http://schemas.microsoft.com/office/drawing/2014/main" id="{00000000-0008-0000-0200-000021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13</xdr:col>
      <xdr:colOff>0</xdr:colOff>
      <xdr:row>1</xdr:row>
      <xdr:rowOff>0</xdr:rowOff>
    </xdr:from>
    <xdr:to>
      <xdr:col>24</xdr:col>
      <xdr:colOff>0</xdr:colOff>
      <xdr:row>4</xdr:row>
      <xdr:rowOff>95250</xdr:rowOff>
    </xdr:to>
    <xdr:sp macro="" textlink="OODNL">
      <xdr:nvSpPr>
        <xdr:cNvPr id="3" name="TextBox 2">
          <a:extLst>
            <a:ext uri="{FF2B5EF4-FFF2-40B4-BE49-F238E27FC236}">
              <a16:creationId xmlns:a16="http://schemas.microsoft.com/office/drawing/2014/main" id="{00000000-0008-0000-0200-000003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15</xdr:row>
      <xdr:rowOff>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le calcul de l'avantage de toute nature voiture, il faut prendre en compte non seulement les émissions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mais aussi la valeur catalogue du véhicule.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Utilisez cet outil de calcul pour vérifier le montant de votre avantage voiture de société </a:t>
          </a:r>
          <a:r>
            <a:rPr lang="en-BE" sz="1200" baseline="0">
              <a:latin typeface="Tahoma" panose="020B0604030504040204" pitchFamily="34" charset="0"/>
              <a:ea typeface="Tahoma" panose="020B0604030504040204" pitchFamily="34" charset="0"/>
              <a:cs typeface="Tahoma" panose="020B0604030504040204" pitchFamily="34" charset="0"/>
            </a:rPr>
            <a:t>pour les années</a:t>
          </a: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2022 à 2025</a:t>
          </a:r>
          <a:r>
            <a:rPr lang="nl-BE" sz="1200" baseline="0">
              <a:latin typeface="Tahoma" panose="020B0604030504040204" pitchFamily="34" charset="0"/>
              <a:ea typeface="Tahoma" panose="020B0604030504040204" pitchFamily="34" charset="0"/>
              <a:cs typeface="Tahoma" panose="020B0604030504040204" pitchFamily="34" charset="0"/>
            </a:rPr>
            <a:t>. Nous calculons les montants mensuels.</a:t>
          </a:r>
        </a:p>
      </xdr:txBody>
    </xdr:sp>
    <xdr:clientData/>
  </xdr:twoCellAnchor>
  <xdr:twoCellAnchor>
    <xdr:from>
      <xdr:col>8</xdr:col>
      <xdr:colOff>0</xdr:colOff>
      <xdr:row>2</xdr:row>
      <xdr:rowOff>0</xdr:rowOff>
    </xdr:from>
    <xdr:to>
      <xdr:col>18</xdr:col>
      <xdr:colOff>200025</xdr:colOff>
      <xdr:row>5</xdr:row>
      <xdr:rowOff>0</xdr:rowOff>
    </xdr:to>
    <xdr:sp macro="" textlink="OODFR">
      <xdr:nvSpPr>
        <xdr:cNvPr id="5" name="TextBox 4">
          <a:extLst>
            <a:ext uri="{FF2B5EF4-FFF2-40B4-BE49-F238E27FC236}">
              <a16:creationId xmlns:a16="http://schemas.microsoft.com/office/drawing/2014/main" id="{00000000-0008-0000-0400-000005000000}"/>
            </a:ext>
          </a:extLst>
        </xdr:cNvPr>
        <xdr:cNvSpPr txBox="1"/>
      </xdr:nvSpPr>
      <xdr:spPr>
        <a:xfrm>
          <a:off x="8382000" y="10001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BD1345B3-7392-431C-91EC-5CBDC5367453}"/>
            </a:ext>
          </a:extLst>
        </xdr:cNvPr>
        <xdr:cNvSpPr/>
      </xdr:nvSpPr>
      <xdr:spPr bwMode="auto">
        <a:xfrm flipH="1">
          <a:off x="7305675" y="63150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1</xdr:row>
      <xdr:rowOff>0</xdr:rowOff>
    </xdr:from>
    <xdr:to>
      <xdr:col>26</xdr:col>
      <xdr:colOff>0</xdr:colOff>
      <xdr:row>3</xdr:row>
      <xdr:rowOff>295275</xdr:rowOff>
    </xdr:to>
    <xdr:sp macro="" textlink="OODFR">
      <xdr:nvSpPr>
        <xdr:cNvPr id="3" name="TextBox 2">
          <a:extLst>
            <a:ext uri="{FF2B5EF4-FFF2-40B4-BE49-F238E27FC236}">
              <a16:creationId xmlns:a16="http://schemas.microsoft.com/office/drawing/2014/main" id="{00000000-0008-0000-0500-000003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4</xdr:row>
          <xdr:rowOff>7620</xdr:rowOff>
        </xdr:from>
        <xdr:to>
          <xdr:col>7</xdr:col>
          <xdr:colOff>30480</xdr:colOff>
          <xdr:row>5</xdr:row>
          <xdr:rowOff>0</xdr:rowOff>
        </xdr:to>
        <xdr:sp macro="" textlink="">
          <xdr:nvSpPr>
            <xdr:cNvPr id="27649" name="Drop Down 1" hidden="1">
              <a:extLst>
                <a:ext uri="{63B3BB69-23CF-44E3-9099-C40C66FF867C}">
                  <a14:compatExt spid="_x0000_s27649"/>
                </a:ext>
                <a:ext uri="{FF2B5EF4-FFF2-40B4-BE49-F238E27FC236}">
                  <a16:creationId xmlns:a16="http://schemas.microsoft.com/office/drawing/2014/main" id="{00000000-0008-0000-0600-0000016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xdr:row>
          <xdr:rowOff>0</xdr:rowOff>
        </xdr:from>
        <xdr:to>
          <xdr:col>7</xdr:col>
          <xdr:colOff>30480</xdr:colOff>
          <xdr:row>6</xdr:row>
          <xdr:rowOff>0</xdr:rowOff>
        </xdr:to>
        <xdr:sp macro="" textlink="">
          <xdr:nvSpPr>
            <xdr:cNvPr id="27650" name="Drop Down 2" hidden="1">
              <a:extLst>
                <a:ext uri="{63B3BB69-23CF-44E3-9099-C40C66FF867C}">
                  <a14:compatExt spid="_x0000_s27650"/>
                </a:ext>
                <a:ext uri="{FF2B5EF4-FFF2-40B4-BE49-F238E27FC236}">
                  <a16:creationId xmlns:a16="http://schemas.microsoft.com/office/drawing/2014/main" id="{00000000-0008-0000-0600-0000026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13</xdr:col>
      <xdr:colOff>0</xdr:colOff>
      <xdr:row>1</xdr:row>
      <xdr:rowOff>0</xdr:rowOff>
    </xdr:from>
    <xdr:to>
      <xdr:col>24</xdr:col>
      <xdr:colOff>0</xdr:colOff>
      <xdr:row>4</xdr:row>
      <xdr:rowOff>95250</xdr:rowOff>
    </xdr:to>
    <xdr:sp macro="" textlink="OODFR">
      <xdr:nvSpPr>
        <xdr:cNvPr id="2" name="TextBox 1">
          <a:extLst>
            <a:ext uri="{FF2B5EF4-FFF2-40B4-BE49-F238E27FC236}">
              <a16:creationId xmlns:a16="http://schemas.microsoft.com/office/drawing/2014/main" id="{00000000-0008-0000-0600-000002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Naast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-uitstoot houdt men ook rekening met de cataloguswaarde en de ouderdom van de auto om het voordeel alle aard te berekenen.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Gebruik deze rekentool om na te gaan hoeveel het voordeel gratis auto bedraagt voor</a:t>
          </a:r>
          <a:r>
            <a:rPr lang="en-BE" sz="1200" baseline="0">
              <a:latin typeface="Tahoma" panose="020B0604030504040204" pitchFamily="34" charset="0"/>
              <a:ea typeface="Tahoma" panose="020B0604030504040204" pitchFamily="34" charset="0"/>
              <a:cs typeface="Tahoma" panose="020B0604030504040204" pitchFamily="34" charset="0"/>
            </a:rPr>
            <a:t> het jaar </a:t>
          </a:r>
          <a:r>
            <a:rPr lang="nl-BE" sz="1200" baseline="0">
              <a:latin typeface="Tahoma" panose="020B0604030504040204" pitchFamily="34" charset="0"/>
              <a:ea typeface="Tahoma" panose="020B0604030504040204" pitchFamily="34" charset="0"/>
              <a:cs typeface="Tahoma" panose="020B0604030504040204" pitchFamily="34" charset="0"/>
            </a:rPr>
            <a:t>202</a:t>
          </a:r>
          <a:r>
            <a:rPr lang="en-BE" sz="1200" baseline="0">
              <a:latin typeface="Tahoma" panose="020B0604030504040204" pitchFamily="34" charset="0"/>
              <a:ea typeface="Tahoma" panose="020B0604030504040204" pitchFamily="34" charset="0"/>
              <a:cs typeface="Tahoma" panose="020B0604030504040204" pitchFamily="34" charset="0"/>
            </a:rPr>
            <a:t>6</a:t>
          </a:r>
          <a:r>
            <a:rPr lang="nl-BE" sz="1200" baseline="0">
              <a:latin typeface="Tahoma" panose="020B0604030504040204" pitchFamily="34" charset="0"/>
              <a:ea typeface="Tahoma" panose="020B0604030504040204" pitchFamily="34" charset="0"/>
              <a:cs typeface="Tahoma" panose="020B0604030504040204" pitchFamily="34" charset="0"/>
            </a:rPr>
            <a:t>. We berekenen de bedragen per maand.</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15" name="Group 14">
          <a:extLst>
            <a:ext uri="{FF2B5EF4-FFF2-40B4-BE49-F238E27FC236}">
              <a16:creationId xmlns:a16="http://schemas.microsoft.com/office/drawing/2014/main" id="{48799C49-7747-4BB9-AAC1-898A299982B7}"/>
            </a:ext>
          </a:extLst>
        </xdr:cNvPr>
        <xdr:cNvGrpSpPr/>
      </xdr:nvGrpSpPr>
      <xdr:grpSpPr>
        <a:xfrm>
          <a:off x="350520" y="228600"/>
          <a:ext cx="6629400" cy="1500917"/>
          <a:chOff x="381000" y="247650"/>
          <a:chExt cx="7200900" cy="1497107"/>
        </a:xfrm>
      </xdr:grpSpPr>
      <xdr:pic>
        <xdr:nvPicPr>
          <xdr:cNvPr id="16" name="Picture 31">
            <a:extLst>
              <a:ext uri="{FF2B5EF4-FFF2-40B4-BE49-F238E27FC236}">
                <a16:creationId xmlns:a16="http://schemas.microsoft.com/office/drawing/2014/main" id="{EBCD806F-7ACC-ECF2-70D0-68235B66108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 name="Picture 16">
            <a:extLst>
              <a:ext uri="{FF2B5EF4-FFF2-40B4-BE49-F238E27FC236}">
                <a16:creationId xmlns:a16="http://schemas.microsoft.com/office/drawing/2014/main" id="{DC4294EA-D7B2-ADEC-663D-26E4F9A63D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18" name="Rectangle 17">
          <a:extLst>
            <a:ext uri="{FF2B5EF4-FFF2-40B4-BE49-F238E27FC236}">
              <a16:creationId xmlns:a16="http://schemas.microsoft.com/office/drawing/2014/main" id="{BF15FD37-E9C9-47D2-97F4-972303A239E6}"/>
            </a:ext>
          </a:extLst>
        </xdr:cNvPr>
        <xdr:cNvSpPr/>
      </xdr:nvSpPr>
      <xdr:spPr bwMode="auto">
        <a:xfrm flipH="1">
          <a:off x="7305675" y="742950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5</xdr:row>
          <xdr:rowOff>0</xdr:rowOff>
        </xdr:from>
        <xdr:to>
          <xdr:col>7</xdr:col>
          <xdr:colOff>30480</xdr:colOff>
          <xdr:row>6</xdr:row>
          <xdr:rowOff>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900-0000028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13</xdr:col>
      <xdr:colOff>0</xdr:colOff>
      <xdr:row>1</xdr:row>
      <xdr:rowOff>0</xdr:rowOff>
    </xdr:from>
    <xdr:to>
      <xdr:col>24</xdr:col>
      <xdr:colOff>0</xdr:colOff>
      <xdr:row>5</xdr:row>
      <xdr:rowOff>95250</xdr:rowOff>
    </xdr:to>
    <xdr:sp macro="" textlink="OODNL">
      <xdr:nvSpPr>
        <xdr:cNvPr id="3" name="TextBox 2">
          <a:extLst>
            <a:ext uri="{FF2B5EF4-FFF2-40B4-BE49-F238E27FC236}">
              <a16:creationId xmlns:a16="http://schemas.microsoft.com/office/drawing/2014/main" id="{00000000-0008-0000-0900-000003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le calcul de l'avantage de toute nature voiture, il faut prendre en compte non seulement les émissions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mais aussi la valeur catalogue du véhicule.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Utilisez cet outil de calcul pour vérifier le montant de votre avantage voiture </a:t>
          </a:r>
          <a:r>
            <a:rPr lang="en-BE" sz="1200" baseline="0">
              <a:latin typeface="Tahoma" panose="020B0604030504040204" pitchFamily="34" charset="0"/>
              <a:ea typeface="Tahoma" panose="020B0604030504040204" pitchFamily="34" charset="0"/>
              <a:cs typeface="Tahoma" panose="020B0604030504040204" pitchFamily="34" charset="0"/>
            </a:rPr>
            <a:t>pour l'année 2026</a:t>
          </a:r>
          <a:r>
            <a:rPr lang="nl-BE" sz="1200" baseline="0">
              <a:latin typeface="Tahoma" panose="020B0604030504040204" pitchFamily="34" charset="0"/>
              <a:ea typeface="Tahoma" panose="020B0604030504040204" pitchFamily="34" charset="0"/>
              <a:cs typeface="Tahoma" panose="020B0604030504040204" pitchFamily="34" charset="0"/>
            </a:rPr>
            <a:t>. Nous calculons les montants mensuels</a:t>
          </a:r>
          <a:r>
            <a:rPr lang="en-BE" sz="1200" baseline="0">
              <a:latin typeface="Tahoma" panose="020B0604030504040204" pitchFamily="34" charset="0"/>
              <a:ea typeface="Tahoma" panose="020B0604030504040204" pitchFamily="34" charset="0"/>
              <a:cs typeface="Tahoma" panose="020B0604030504040204" pitchFamily="34" charset="0"/>
            </a:rPr>
            <a:t>.</a:t>
          </a: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8</xdr:col>
      <xdr:colOff>0</xdr:colOff>
      <xdr:row>2</xdr:row>
      <xdr:rowOff>0</xdr:rowOff>
    </xdr:from>
    <xdr:to>
      <xdr:col>18</xdr:col>
      <xdr:colOff>200025</xdr:colOff>
      <xdr:row>5</xdr:row>
      <xdr:rowOff>0</xdr:rowOff>
    </xdr:to>
    <xdr:sp macro="" textlink="OODFR">
      <xdr:nvSpPr>
        <xdr:cNvPr id="5" name="TextBox 4">
          <a:extLst>
            <a:ext uri="{FF2B5EF4-FFF2-40B4-BE49-F238E27FC236}">
              <a16:creationId xmlns:a16="http://schemas.microsoft.com/office/drawing/2014/main" id="{00000000-0008-0000-0B00-000005000000}"/>
            </a:ext>
          </a:extLst>
        </xdr:cNvPr>
        <xdr:cNvSpPr txBox="1"/>
      </xdr:nvSpPr>
      <xdr:spPr>
        <a:xfrm>
          <a:off x="8382000" y="21431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6" name="Group 5">
          <a:extLst>
            <a:ext uri="{FF2B5EF4-FFF2-40B4-BE49-F238E27FC236}">
              <a16:creationId xmlns:a16="http://schemas.microsoft.com/office/drawing/2014/main" id="{3111F842-A431-4535-B507-EE9A53EEE9DB}"/>
            </a:ext>
          </a:extLst>
        </xdr:cNvPr>
        <xdr:cNvGrpSpPr/>
      </xdr:nvGrpSpPr>
      <xdr:grpSpPr>
        <a:xfrm>
          <a:off x="350521" y="307945"/>
          <a:ext cx="6629399" cy="1422548"/>
          <a:chOff x="381001" y="324501"/>
          <a:chExt cx="7200899" cy="1422548"/>
        </a:xfrm>
      </xdr:grpSpPr>
      <xdr:pic>
        <xdr:nvPicPr>
          <xdr:cNvPr id="7" name="Picture 6">
            <a:extLst>
              <a:ext uri="{FF2B5EF4-FFF2-40B4-BE49-F238E27FC236}">
                <a16:creationId xmlns:a16="http://schemas.microsoft.com/office/drawing/2014/main" id="{826E775A-79C8-DDD9-2252-DDBA1B27085F}"/>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8" name="Picture 7">
            <a:extLst>
              <a:ext uri="{FF2B5EF4-FFF2-40B4-BE49-F238E27FC236}">
                <a16:creationId xmlns:a16="http://schemas.microsoft.com/office/drawing/2014/main" id="{79398B6A-1ADD-08EE-E526-F89455D72E4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9" name="Rectangle 8">
          <a:extLst>
            <a:ext uri="{FF2B5EF4-FFF2-40B4-BE49-F238E27FC236}">
              <a16:creationId xmlns:a16="http://schemas.microsoft.com/office/drawing/2014/main" id="{45DBDD02-E1B6-431E-9BAF-7864D4D311F1}"/>
            </a:ext>
          </a:extLst>
        </xdr:cNvPr>
        <xdr:cNvSpPr/>
      </xdr:nvSpPr>
      <xdr:spPr bwMode="auto">
        <a:xfrm flipH="1">
          <a:off x="7305675" y="742950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tax-iq.be?subject=Vraag/opmerking%20over%20Tool%20422542" TargetMode="External"/><Relationship Id="rId7" Type="http://schemas.openxmlformats.org/officeDocument/2006/relationships/comments" Target="../comments1.xml"/><Relationship Id="rId2" Type="http://schemas.openxmlformats.org/officeDocument/2006/relationships/hyperlink" Target="https://download.lefebvre-sarrut.be/dms?id_=d14051e7-80bb-4bc9-9d5d-13ad3f8c01b8" TargetMode="External"/><Relationship Id="rId1" Type="http://schemas.openxmlformats.org/officeDocument/2006/relationships/hyperlink" Target="https://download.lefebvre-sarrut.be/dms?id_=3e043e31-72e5-49f5-ba72-e79e31575db6"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omments" Target="../comments6.xml"/><Relationship Id="rId4" Type="http://schemas.openxmlformats.org/officeDocument/2006/relationships/ctrlProp" Target="../ctrlProps/ctrlProp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mailto:info@tax-iq.be?subject=Question/remarque%20concernant%20outil%20472927"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3.bin"/><Relationship Id="rId5" Type="http://schemas.openxmlformats.org/officeDocument/2006/relationships/comments" Target="../comments8.xml"/><Relationship Id="rId4" Type="http://schemas.openxmlformats.org/officeDocument/2006/relationships/ctrlProp" Target="../ctrlProps/ctrlProp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file:///C:\Downloads\01.2023\07%20Forfait%20of%20bewezen%20beroepskosten%20-%20klaar%20voor%20upload\BASIC\VAA%20auto_%20beroepskosten%20of%20bewezen%20beroepskosten.xlsx" TargetMode="External"/><Relationship Id="rId1" Type="http://schemas.openxmlformats.org/officeDocument/2006/relationships/hyperlink" Target="file:///C:\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info@tax-iq.be?subject=Question/remarque%20concernant%20outil%20422502" TargetMode="External"/><Relationship Id="rId7" Type="http://schemas.openxmlformats.org/officeDocument/2006/relationships/comments" Target="../comments3.xml"/><Relationship Id="rId2" Type="http://schemas.openxmlformats.org/officeDocument/2006/relationships/hyperlink" Target="https://download.lefebvre-sarrut.be/dms?id_=700844ad-0d20-4e6f-a651-4598e559b9d1" TargetMode="External"/><Relationship Id="rId1" Type="http://schemas.openxmlformats.org/officeDocument/2006/relationships/hyperlink" Target="https://download.lefebvre-sarrut.be/dms?id_=5a0097c9-197a-4fb2-b45c-d078930a96a7" TargetMode="External"/><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omments" Target="../comments4.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info@tax-iq.be?subject=Vraag/opmerking%20over%20Tool%20472928"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F12E-5B3C-4FA4-BF59-BBE3F8A78D0C}">
  <sheetPr codeName="Sheet1">
    <tabColor theme="4" tint="0.79998168889431442"/>
    <pageSetUpPr autoPageBreaks="0" fitToPage="1"/>
  </sheetPr>
  <dimension ref="B1:F28"/>
  <sheetViews>
    <sheetView showGridLines="0" showRowColHeaders="0" workbookViewId="0"/>
  </sheetViews>
  <sheetFormatPr defaultColWidth="5.75" defaultRowHeight="20.100000000000001" customHeight="1"/>
  <cols>
    <col min="1" max="1" width="5.75" style="120" customWidth="1"/>
    <col min="2" max="2" width="22.875" style="120" customWidth="1"/>
    <col min="3" max="3" width="18.625" style="120" customWidth="1"/>
    <col min="4" max="4" width="22.875" style="120" customWidth="1"/>
    <col min="5" max="5" width="18.625" style="120" customWidth="1"/>
    <col min="6" max="6" width="25.75" style="120" customWidth="1"/>
    <col min="7" max="9" width="5.75" style="120" customWidth="1"/>
    <col min="10" max="16384" width="5.75" style="120"/>
  </cols>
  <sheetData>
    <row r="1" spans="2:6" ht="30" customHeight="1">
      <c r="B1" s="242"/>
      <c r="C1" s="242"/>
      <c r="D1" s="242"/>
      <c r="E1" s="242"/>
      <c r="F1" s="242"/>
    </row>
    <row r="2" spans="2:6" ht="48.75" customHeight="1">
      <c r="B2" s="119"/>
      <c r="C2" s="119"/>
      <c r="D2" s="239">
        <v>46030</v>
      </c>
      <c r="E2" s="239"/>
      <c r="F2" s="239"/>
    </row>
    <row r="3" spans="2:6" ht="20.100000000000001" customHeight="1">
      <c r="B3" s="119"/>
      <c r="C3" s="119"/>
      <c r="D3" s="119"/>
      <c r="E3" s="119"/>
      <c r="F3" s="119"/>
    </row>
    <row r="4" spans="2:6" ht="30" customHeight="1">
      <c r="B4" s="240" t="s">
        <v>274</v>
      </c>
      <c r="C4" s="241"/>
      <c r="D4" s="241"/>
      <c r="E4" s="241"/>
      <c r="F4" s="241"/>
    </row>
    <row r="5" spans="2:6" ht="20.100000000000001" customHeight="1">
      <c r="B5" s="119"/>
      <c r="C5" s="121"/>
      <c r="D5" s="119"/>
      <c r="E5" s="119"/>
      <c r="F5" s="119"/>
    </row>
    <row r="6" spans="2:6" ht="20.100000000000001" customHeight="1">
      <c r="B6" s="122"/>
      <c r="C6" s="122"/>
      <c r="D6" s="122"/>
      <c r="E6" s="122"/>
      <c r="F6" s="122"/>
    </row>
    <row r="7" spans="2:6" ht="20.100000000000001" customHeight="1">
      <c r="B7" s="122"/>
      <c r="C7" s="122"/>
      <c r="D7" s="122"/>
      <c r="E7" s="122"/>
      <c r="F7" s="122"/>
    </row>
    <row r="8" spans="2:6" ht="20.100000000000001" customHeight="1">
      <c r="B8" s="122"/>
      <c r="C8" s="122"/>
      <c r="D8" s="122"/>
      <c r="E8" s="122"/>
      <c r="F8" s="122"/>
    </row>
    <row r="9" spans="2:6" ht="20.100000000000001" customHeight="1">
      <c r="B9" s="122"/>
      <c r="C9" s="122"/>
      <c r="D9" s="122"/>
      <c r="E9" s="122"/>
      <c r="F9" s="122"/>
    </row>
    <row r="10" spans="2:6" ht="20.100000000000001" customHeight="1">
      <c r="B10" s="122"/>
      <c r="C10" s="122"/>
      <c r="D10" s="122"/>
      <c r="E10" s="122"/>
      <c r="F10" s="122"/>
    </row>
    <row r="11" spans="2:6" ht="20.100000000000001" customHeight="1">
      <c r="B11" s="122"/>
      <c r="C11" s="122"/>
      <c r="D11" s="122"/>
      <c r="E11" s="122"/>
      <c r="F11" s="122"/>
    </row>
    <row r="12" spans="2:6" ht="20.100000000000001" customHeight="1">
      <c r="B12" s="122"/>
      <c r="C12" s="122"/>
      <c r="D12" s="122"/>
      <c r="E12" s="122"/>
      <c r="F12" s="122"/>
    </row>
    <row r="13" spans="2:6" ht="20.100000000000001" customHeight="1">
      <c r="B13" s="122"/>
      <c r="C13" s="122"/>
      <c r="D13" s="122"/>
      <c r="E13" s="122"/>
      <c r="F13" s="122"/>
    </row>
    <row r="14" spans="2:6" ht="20.100000000000001" customHeight="1">
      <c r="B14" s="122"/>
      <c r="C14" s="122"/>
      <c r="D14" s="122"/>
      <c r="E14" s="122"/>
      <c r="F14" s="122"/>
    </row>
    <row r="15" spans="2:6" ht="20.100000000000001" customHeight="1">
      <c r="B15" s="122"/>
      <c r="C15" s="122"/>
      <c r="D15" s="122"/>
      <c r="E15" s="122"/>
      <c r="F15" s="122"/>
    </row>
    <row r="16" spans="2:6" ht="20.100000000000001" customHeight="1">
      <c r="B16" s="123" t="s">
        <v>34</v>
      </c>
      <c r="C16" s="124"/>
      <c r="D16" s="125" t="s">
        <v>35</v>
      </c>
      <c r="E16" s="126"/>
      <c r="F16" s="123" t="s">
        <v>36</v>
      </c>
    </row>
    <row r="17" spans="2:6" ht="20.100000000000001" customHeight="1">
      <c r="B17" s="127" t="s">
        <v>114</v>
      </c>
      <c r="C17" s="128"/>
      <c r="D17" s="129" t="s">
        <v>37</v>
      </c>
      <c r="E17" s="128"/>
      <c r="F17" s="129" t="s">
        <v>144</v>
      </c>
    </row>
    <row r="19" spans="2:6" ht="20.100000000000001" customHeight="1">
      <c r="F19" s="129" t="s">
        <v>145</v>
      </c>
    </row>
    <row r="20" spans="2:6" ht="20.100000000000001" customHeight="1" thickBot="1">
      <c r="C20" s="119"/>
      <c r="D20" s="119"/>
      <c r="E20" s="119"/>
      <c r="F20" s="119"/>
    </row>
    <row r="21" spans="2:6" ht="20.100000000000001" customHeight="1" thickTop="1" thickBot="1">
      <c r="B21" s="212" t="s">
        <v>255</v>
      </c>
      <c r="C21" s="198"/>
      <c r="D21" s="198"/>
      <c r="E21" s="198"/>
      <c r="F21" s="213" t="s">
        <v>256</v>
      </c>
    </row>
    <row r="22" spans="2:6" ht="12" customHeight="1" thickTop="1">
      <c r="B22" s="201"/>
      <c r="C22" s="133"/>
      <c r="D22" s="133"/>
      <c r="E22" s="133"/>
      <c r="F22" s="202"/>
    </row>
    <row r="23" spans="2:6" ht="12" customHeight="1">
      <c r="B23" s="201" t="s">
        <v>115</v>
      </c>
      <c r="C23" s="132"/>
      <c r="D23" s="132"/>
      <c r="E23" s="132"/>
      <c r="F23" s="203"/>
    </row>
    <row r="24" spans="2:6" ht="12" customHeight="1">
      <c r="B24" s="201" t="s">
        <v>116</v>
      </c>
      <c r="C24" s="133"/>
      <c r="D24" s="133"/>
      <c r="E24" s="133"/>
      <c r="F24" s="204"/>
    </row>
    <row r="25" spans="2:6" ht="12" customHeight="1">
      <c r="B25" s="205"/>
      <c r="C25" s="130"/>
      <c r="D25" s="130"/>
      <c r="E25" s="130"/>
      <c r="F25" s="206"/>
    </row>
    <row r="26" spans="2:6" ht="20.100000000000001" customHeight="1">
      <c r="B26" s="243" t="s">
        <v>257</v>
      </c>
      <c r="C26" s="244"/>
      <c r="D26" s="244"/>
      <c r="E26" s="244"/>
      <c r="F26" s="214" t="s">
        <v>267</v>
      </c>
    </row>
    <row r="27" spans="2:6" ht="20.100000000000001" customHeight="1" thickBot="1">
      <c r="B27" s="245"/>
      <c r="C27" s="246"/>
      <c r="D27" s="246"/>
      <c r="E27" s="246"/>
      <c r="F27" s="215" t="s">
        <v>268</v>
      </c>
    </row>
    <row r="28" spans="2:6" ht="20.100000000000001" customHeight="1" thickTop="1"/>
  </sheetData>
  <sheetProtection algorithmName="SHA-512" hashValue="nZ6WzLgedBOZ4g8lzZeg5PnLebv0eYmX3oTEw5SlEr0LS0Gs6kuAv+LKOPucTqCK0MT4Z/r5Ii9op1Slo6zfQw==" saltValue="f0WS1P1LjBUcWweQtO8glQ==" spinCount="100000" sheet="1" objects="1" scenarios="1"/>
  <mergeCells count="4">
    <mergeCell ref="D2:F2"/>
    <mergeCell ref="B4:F4"/>
    <mergeCell ref="B1:F1"/>
    <mergeCell ref="B26:E27"/>
  </mergeCells>
  <hyperlinks>
    <hyperlink ref="B17" location="'1'!A1" tooltip="Nota van de redactie" display="} Klik hier" xr:uid="{D4BF2BEB-33B6-42AC-B95D-566AC1199035}"/>
    <hyperlink ref="D17" location="'2'!A1" tooltip="Reken zelf!" display="} Klik hier" xr:uid="{2A26F70D-E933-40D6-B19C-FFA08B889B60}"/>
    <hyperlink ref="F17" r:id="rId1" tooltip="Checklist" xr:uid="{7DB02B1C-24A4-459E-957D-DFC733BBAD5D}"/>
    <hyperlink ref="F19" r:id="rId2" tooltip="Checklist" xr:uid="{F64067C9-65E5-4191-8E29-82C34E90E76B}"/>
    <hyperlink ref="F21" r:id="rId3" tooltip="Stel uw vraag aan de redactie" xr:uid="{A463F400-8B98-4DC6-AA32-AC63E7F54CCA}"/>
  </hyperlinks>
  <pageMargins left="0.75" right="0.75" top="1" bottom="1" header="0.5" footer="0.5"/>
  <pageSetup paperSize="9" orientation="portrait" r:id="rId4"/>
  <headerFooter alignWithMargins="0">
    <oddHeader>&amp;C&amp;Z&amp;F</oddHeader>
    <oddFooter>&amp;C&amp;P/&amp;N</oddFooter>
  </headerFooter>
  <drawing r:id="rId5"/>
  <legacy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D4CCD-5BE6-4F9F-AFB5-3A021B7926C3}">
  <sheetPr codeName="Blad3">
    <tabColor theme="6" tint="0.79998168889431442"/>
    <pageSetUpPr autoPageBreaks="0" fitToPage="1"/>
  </sheetPr>
  <dimension ref="A1:L41"/>
  <sheetViews>
    <sheetView showGridLines="0" showRowColHeaders="0" zoomScaleNormal="100" workbookViewId="0">
      <selection activeCell="B3" sqref="B3"/>
    </sheetView>
  </sheetViews>
  <sheetFormatPr defaultColWidth="9.125" defaultRowHeight="15.9" customHeight="1"/>
  <cols>
    <col min="1" max="1" width="5.75" style="6" customWidth="1"/>
    <col min="2" max="2" width="30.25" style="6" customWidth="1"/>
    <col min="3" max="3" width="18.75" style="6" customWidth="1"/>
    <col min="4" max="4" width="21.375" style="6" customWidth="1"/>
    <col min="5" max="5" width="18.125" style="6" customWidth="1"/>
    <col min="6" max="7" width="21.625" style="6" customWidth="1"/>
    <col min="8" max="8" width="5.75" style="6" customWidth="1"/>
    <col min="9" max="43" width="5.75" style="7" customWidth="1"/>
    <col min="44" max="16384" width="9.125" style="7"/>
  </cols>
  <sheetData>
    <row r="1" spans="2:12" ht="15.9" customHeight="1" thickBot="1"/>
    <row r="2" spans="2:12" ht="30" customHeight="1" thickBot="1">
      <c r="B2" s="262" t="s">
        <v>275</v>
      </c>
      <c r="C2" s="262"/>
      <c r="D2" s="262"/>
      <c r="E2" s="262"/>
      <c r="F2" s="262"/>
      <c r="G2" s="262"/>
      <c r="I2" s="1" t="s">
        <v>0</v>
      </c>
      <c r="J2" s="2" t="s">
        <v>1</v>
      </c>
      <c r="K2" s="3" t="s">
        <v>2</v>
      </c>
      <c r="L2" s="3" t="s">
        <v>3</v>
      </c>
    </row>
    <row r="3" spans="2:12" ht="15.9" customHeight="1">
      <c r="G3" s="55"/>
      <c r="I3" s="56"/>
      <c r="J3" s="56"/>
      <c r="K3" s="56"/>
      <c r="L3" s="56"/>
    </row>
    <row r="4" spans="2:12" ht="15.9" customHeight="1">
      <c r="B4" s="163" t="s">
        <v>73</v>
      </c>
      <c r="C4" s="13"/>
      <c r="D4" s="5"/>
      <c r="E4" s="5"/>
      <c r="F4" s="5"/>
      <c r="I4" s="57"/>
      <c r="J4" s="57"/>
      <c r="K4" s="57"/>
      <c r="L4" s="57"/>
    </row>
    <row r="5" spans="2:12" ht="15.9" hidden="1" customHeight="1">
      <c r="B5" s="163"/>
      <c r="C5" s="13"/>
      <c r="D5" s="5"/>
      <c r="E5" s="5"/>
      <c r="F5" s="5"/>
      <c r="I5" s="57"/>
      <c r="J5" s="57"/>
      <c r="K5" s="57"/>
      <c r="L5" s="57"/>
    </row>
    <row r="6" spans="2:12" ht="15.9" customHeight="1">
      <c r="B6" s="8" t="s">
        <v>6</v>
      </c>
      <c r="C6" s="8"/>
      <c r="D6" s="5"/>
      <c r="E6" s="5"/>
      <c r="F6" s="5"/>
      <c r="I6" s="57"/>
      <c r="J6" s="57"/>
      <c r="K6" s="57"/>
      <c r="L6" s="57"/>
    </row>
    <row r="7" spans="2:12" ht="15.9" customHeight="1">
      <c r="B7" s="4"/>
      <c r="C7" s="4"/>
      <c r="D7" s="5"/>
      <c r="E7" s="5"/>
      <c r="F7" s="5"/>
      <c r="I7" s="57"/>
      <c r="J7" s="57"/>
      <c r="K7" s="57"/>
      <c r="L7" s="57"/>
    </row>
    <row r="8" spans="2:12" ht="15.9" customHeight="1">
      <c r="B8" s="8" t="s">
        <v>20</v>
      </c>
      <c r="C8" s="8"/>
      <c r="D8" s="5"/>
      <c r="E8" s="5"/>
      <c r="F8" s="5"/>
      <c r="G8" s="175"/>
      <c r="I8" s="57"/>
      <c r="J8" s="57"/>
      <c r="K8" s="57"/>
      <c r="L8" s="57"/>
    </row>
    <row r="9" spans="2:12" ht="15.9" customHeight="1">
      <c r="B9" s="8" t="s">
        <v>71</v>
      </c>
      <c r="C9" s="8"/>
      <c r="D9" s="21"/>
      <c r="E9" s="21"/>
      <c r="F9" s="21"/>
      <c r="G9" s="175">
        <v>0</v>
      </c>
      <c r="I9" s="74" t="s">
        <v>1</v>
      </c>
      <c r="J9" s="57"/>
      <c r="K9" s="57"/>
      <c r="L9" s="57"/>
    </row>
    <row r="10" spans="2:12" ht="15.9" customHeight="1">
      <c r="B10" s="8" t="s">
        <v>67</v>
      </c>
      <c r="C10" s="8"/>
      <c r="D10" s="8"/>
      <c r="E10" s="8"/>
      <c r="F10" s="8"/>
      <c r="G10" s="164">
        <v>0</v>
      </c>
      <c r="I10" s="74" t="s">
        <v>1</v>
      </c>
      <c r="J10" s="57"/>
      <c r="K10" s="57"/>
      <c r="L10" s="57"/>
    </row>
    <row r="11" spans="2:12" ht="15.9" customHeight="1">
      <c r="B11" s="8" t="s">
        <v>252</v>
      </c>
      <c r="C11" s="8"/>
      <c r="D11" s="8"/>
      <c r="E11" s="8"/>
      <c r="F11" s="8"/>
      <c r="G11" s="176">
        <v>36526</v>
      </c>
      <c r="I11" s="57"/>
      <c r="J11" s="57"/>
      <c r="K11" s="57"/>
      <c r="L11" s="57"/>
    </row>
    <row r="12" spans="2:12" ht="15.9" customHeight="1">
      <c r="B12" s="8" t="s">
        <v>68</v>
      </c>
      <c r="C12" s="8"/>
      <c r="D12" s="8"/>
      <c r="E12" s="8"/>
      <c r="F12" s="8"/>
      <c r="G12" s="176">
        <v>36526</v>
      </c>
      <c r="I12" s="57"/>
      <c r="J12" s="57"/>
      <c r="K12" s="57"/>
      <c r="L12" s="57"/>
    </row>
    <row r="13" spans="2:12" ht="15.9" customHeight="1">
      <c r="B13" s="8" t="s">
        <v>69</v>
      </c>
      <c r="C13" s="8"/>
      <c r="D13" s="8"/>
      <c r="E13" s="8"/>
      <c r="F13" s="8"/>
      <c r="G13" s="176"/>
      <c r="I13" s="57"/>
      <c r="J13" s="57"/>
      <c r="K13" s="57"/>
      <c r="L13" s="57"/>
    </row>
    <row r="14" spans="2:12" ht="15.9" customHeight="1">
      <c r="B14" s="8" t="s">
        <v>238</v>
      </c>
      <c r="C14" s="8"/>
      <c r="D14" s="8"/>
      <c r="E14" s="8"/>
      <c r="F14" s="8"/>
      <c r="G14" s="164"/>
      <c r="I14" s="57"/>
      <c r="J14" s="57"/>
      <c r="K14" s="57"/>
      <c r="L14" s="57"/>
    </row>
    <row r="15" spans="2:12" ht="15.9" customHeight="1">
      <c r="B15" s="8"/>
      <c r="C15" s="8"/>
      <c r="D15" s="7"/>
      <c r="E15" s="7"/>
      <c r="F15" s="7"/>
      <c r="G15" s="8"/>
      <c r="I15" s="57"/>
      <c r="J15" s="57"/>
      <c r="K15" s="57"/>
      <c r="L15" s="57"/>
    </row>
    <row r="16" spans="2:12" ht="15.9" customHeight="1">
      <c r="B16" s="163" t="s">
        <v>70</v>
      </c>
      <c r="C16" s="13"/>
      <c r="D16" s="54"/>
      <c r="E16" s="54"/>
      <c r="F16" s="54"/>
      <c r="G16" s="54"/>
      <c r="I16" s="57"/>
      <c r="J16" s="57"/>
      <c r="K16" s="57"/>
      <c r="L16" s="57"/>
    </row>
    <row r="17" spans="2:12" ht="15.9" customHeight="1">
      <c r="B17" s="8" t="s">
        <v>19</v>
      </c>
      <c r="C17" s="8"/>
      <c r="D17" s="54"/>
      <c r="E17" s="54"/>
      <c r="F17" s="54"/>
      <c r="G17" s="65">
        <f>+calcB!P23</f>
        <v>0.04</v>
      </c>
      <c r="I17" s="58"/>
      <c r="J17" s="59" t="b">
        <v>0</v>
      </c>
      <c r="K17" s="58"/>
      <c r="L17" s="58"/>
    </row>
    <row r="18" spans="2:12" ht="15.9" customHeight="1">
      <c r="B18" s="8" t="s">
        <v>241</v>
      </c>
      <c r="C18" s="8"/>
      <c r="D18" s="54"/>
      <c r="E18" s="54"/>
      <c r="F18" s="54"/>
      <c r="G18" s="81">
        <f>MAX(calcB!N23,+G10*G17*0.857142857142857)</f>
        <v>1690</v>
      </c>
      <c r="I18" s="59" t="b">
        <v>1</v>
      </c>
      <c r="J18" s="60"/>
      <c r="K18" s="58"/>
      <c r="L18" s="58"/>
    </row>
    <row r="19" spans="2:12" ht="15.9" customHeight="1">
      <c r="B19" s="8"/>
      <c r="C19" s="8"/>
      <c r="D19" s="79"/>
      <c r="E19" s="79"/>
      <c r="F19" s="79"/>
      <c r="G19" s="165" t="str">
        <f>IF(G18=calcB!N23,"het minimum is van toepassing","")</f>
        <v>het minimum is van toepassing</v>
      </c>
      <c r="I19" s="62"/>
      <c r="J19" s="60"/>
      <c r="K19" s="58"/>
      <c r="L19" s="58"/>
    </row>
    <row r="20" spans="2:12" ht="15.9" customHeight="1">
      <c r="B20" s="163" t="s">
        <v>80</v>
      </c>
      <c r="C20" s="13"/>
      <c r="D20" s="7"/>
      <c r="E20" s="7"/>
      <c r="F20" s="7"/>
      <c r="G20" s="7"/>
      <c r="I20" s="62"/>
      <c r="J20" s="60"/>
      <c r="K20" s="58"/>
      <c r="L20" s="58"/>
    </row>
    <row r="21" spans="2:12" ht="15.9" customHeight="1">
      <c r="B21" s="67" t="s">
        <v>81</v>
      </c>
      <c r="C21" s="67" t="s">
        <v>87</v>
      </c>
      <c r="D21" s="67" t="s">
        <v>83</v>
      </c>
      <c r="E21" s="67" t="s">
        <v>48</v>
      </c>
      <c r="F21" s="67" t="s">
        <v>240</v>
      </c>
      <c r="G21" s="67" t="s">
        <v>242</v>
      </c>
      <c r="I21" s="62"/>
      <c r="J21" s="60"/>
      <c r="K21" s="58"/>
      <c r="L21" s="58"/>
    </row>
    <row r="22" spans="2:12" ht="15.9" customHeight="1">
      <c r="B22" s="68" t="s">
        <v>7</v>
      </c>
      <c r="C22" s="69">
        <f>+calcB!G31</f>
        <v>31</v>
      </c>
      <c r="D22" s="70">
        <f>IF(C22=0,"",+calcB!M31)</f>
        <v>0.7</v>
      </c>
      <c r="E22" s="82">
        <f>+G22+F22</f>
        <v>143.53424657534245</v>
      </c>
      <c r="F22" s="82">
        <f>+calcB!N31</f>
        <v>0</v>
      </c>
      <c r="G22" s="82">
        <f>+calcB!O31</f>
        <v>143.53424657534245</v>
      </c>
      <c r="I22" s="62"/>
      <c r="J22" s="60"/>
      <c r="K22" s="58"/>
      <c r="L22" s="58"/>
    </row>
    <row r="23" spans="2:12" ht="15.9" customHeight="1">
      <c r="B23" s="68" t="s">
        <v>8</v>
      </c>
      <c r="C23" s="69">
        <f>+calcB!G32</f>
        <v>28</v>
      </c>
      <c r="D23" s="70">
        <f>IF(C23=0,"",+calcB!M32)</f>
        <v>0.7</v>
      </c>
      <c r="E23" s="82">
        <f t="shared" ref="E23:E33" si="0">+G23+F23</f>
        <v>129.64383561643837</v>
      </c>
      <c r="F23" s="82">
        <f>+calcB!N32</f>
        <v>0</v>
      </c>
      <c r="G23" s="82">
        <f>+calcB!O32</f>
        <v>129.64383561643837</v>
      </c>
      <c r="I23" s="62"/>
      <c r="J23" s="60"/>
      <c r="K23" s="58"/>
      <c r="L23" s="58"/>
    </row>
    <row r="24" spans="2:12" ht="15.9" customHeight="1">
      <c r="B24" s="68" t="s">
        <v>9</v>
      </c>
      <c r="C24" s="69">
        <f>+calcB!G33</f>
        <v>31</v>
      </c>
      <c r="D24" s="70">
        <f>IF(C24=0,"",+calcB!M33)</f>
        <v>0.7</v>
      </c>
      <c r="E24" s="82">
        <f t="shared" si="0"/>
        <v>143.53424657534245</v>
      </c>
      <c r="F24" s="82">
        <f>+calcB!N33</f>
        <v>0</v>
      </c>
      <c r="G24" s="82">
        <f>+calcB!O33</f>
        <v>143.53424657534245</v>
      </c>
      <c r="I24" s="62"/>
      <c r="J24" s="62"/>
      <c r="K24" s="58"/>
      <c r="L24" s="58"/>
    </row>
    <row r="25" spans="2:12" ht="15.9" customHeight="1">
      <c r="B25" s="68" t="s">
        <v>10</v>
      </c>
      <c r="C25" s="69">
        <f>+calcB!G34</f>
        <v>30</v>
      </c>
      <c r="D25" s="70">
        <f>IF(C25=0,"",+calcB!M34)</f>
        <v>0.7</v>
      </c>
      <c r="E25" s="82">
        <f t="shared" si="0"/>
        <v>138.9041095890411</v>
      </c>
      <c r="F25" s="82">
        <f>+calcB!N34</f>
        <v>0</v>
      </c>
      <c r="G25" s="82">
        <f>+calcB!O34</f>
        <v>138.9041095890411</v>
      </c>
      <c r="H25" s="8"/>
      <c r="I25" s="62"/>
      <c r="J25" s="62"/>
      <c r="K25" s="58"/>
      <c r="L25" s="58"/>
    </row>
    <row r="26" spans="2:12" ht="15.9" customHeight="1">
      <c r="B26" s="68" t="s">
        <v>11</v>
      </c>
      <c r="C26" s="69">
        <f>+calcB!G35</f>
        <v>31</v>
      </c>
      <c r="D26" s="70">
        <f>IF(C26=0,"",+calcB!M35)</f>
        <v>0.7</v>
      </c>
      <c r="E26" s="82">
        <f t="shared" si="0"/>
        <v>143.53424657534245</v>
      </c>
      <c r="F26" s="82">
        <f>+calcB!N35</f>
        <v>0</v>
      </c>
      <c r="G26" s="82">
        <f>+calcB!O35</f>
        <v>143.53424657534245</v>
      </c>
      <c r="H26" s="8"/>
      <c r="I26" s="62"/>
      <c r="J26" s="62"/>
      <c r="K26" s="58"/>
      <c r="L26" s="58"/>
    </row>
    <row r="27" spans="2:12" ht="15.9" customHeight="1">
      <c r="B27" s="68" t="s">
        <v>12</v>
      </c>
      <c r="C27" s="69">
        <f>+calcB!G36</f>
        <v>30</v>
      </c>
      <c r="D27" s="70">
        <f>IF(C27=0,"",+calcB!M36)</f>
        <v>0.7</v>
      </c>
      <c r="E27" s="82">
        <f t="shared" si="0"/>
        <v>138.9041095890411</v>
      </c>
      <c r="F27" s="82">
        <f>+calcB!N36</f>
        <v>0</v>
      </c>
      <c r="G27" s="82">
        <f>+calcB!O36</f>
        <v>138.9041095890411</v>
      </c>
      <c r="H27" s="8"/>
      <c r="I27" s="62"/>
      <c r="J27" s="62"/>
      <c r="K27" s="58"/>
      <c r="L27" s="58"/>
    </row>
    <row r="28" spans="2:12" ht="15.9" customHeight="1">
      <c r="B28" s="68" t="s">
        <v>13</v>
      </c>
      <c r="C28" s="69">
        <f>+calcB!G37</f>
        <v>31</v>
      </c>
      <c r="D28" s="70">
        <f>IF(C28=0,"",+calcB!M37)</f>
        <v>0.7</v>
      </c>
      <c r="E28" s="82">
        <f t="shared" si="0"/>
        <v>143.53424657534245</v>
      </c>
      <c r="F28" s="82">
        <f>+calcB!N37</f>
        <v>0</v>
      </c>
      <c r="G28" s="82">
        <f>+calcB!O37</f>
        <v>143.53424657534245</v>
      </c>
      <c r="H28" s="8"/>
      <c r="I28" s="62"/>
      <c r="J28" s="62"/>
      <c r="K28" s="58"/>
      <c r="L28" s="58"/>
    </row>
    <row r="29" spans="2:12" ht="15.9" customHeight="1">
      <c r="B29" s="68" t="s">
        <v>14</v>
      </c>
      <c r="C29" s="69">
        <f>+calcB!G38</f>
        <v>31</v>
      </c>
      <c r="D29" s="70">
        <f>IF(C29=0,"",+calcB!M38)</f>
        <v>0.7</v>
      </c>
      <c r="E29" s="82">
        <f t="shared" si="0"/>
        <v>143.53424657534245</v>
      </c>
      <c r="F29" s="82">
        <f>+calcB!N38</f>
        <v>0</v>
      </c>
      <c r="G29" s="82">
        <f>+calcB!O38</f>
        <v>143.53424657534245</v>
      </c>
      <c r="I29" s="63"/>
      <c r="J29" s="63"/>
      <c r="K29" s="58"/>
      <c r="L29" s="58"/>
    </row>
    <row r="30" spans="2:12" ht="15.9" customHeight="1">
      <c r="B30" s="68" t="s">
        <v>15</v>
      </c>
      <c r="C30" s="69">
        <f>+calcB!G39</f>
        <v>30</v>
      </c>
      <c r="D30" s="70">
        <f>IF(C30=0,"",+calcB!M39)</f>
        <v>0.7</v>
      </c>
      <c r="E30" s="82">
        <f t="shared" si="0"/>
        <v>138.9041095890411</v>
      </c>
      <c r="F30" s="82">
        <f>+calcB!N39</f>
        <v>0</v>
      </c>
      <c r="G30" s="82">
        <f>+calcB!O39</f>
        <v>138.9041095890411</v>
      </c>
      <c r="I30" s="63"/>
      <c r="J30" s="63"/>
      <c r="K30" s="58"/>
      <c r="L30" s="58"/>
    </row>
    <row r="31" spans="2:12" ht="15.9" customHeight="1">
      <c r="B31" s="68" t="s">
        <v>16</v>
      </c>
      <c r="C31" s="69">
        <f>+calcB!G40</f>
        <v>31</v>
      </c>
      <c r="D31" s="70">
        <f>IF(C31=0,"",+calcB!M40)</f>
        <v>0.7</v>
      </c>
      <c r="E31" s="82">
        <f t="shared" si="0"/>
        <v>143.53424657534245</v>
      </c>
      <c r="F31" s="82">
        <f>+calcB!N40</f>
        <v>0</v>
      </c>
      <c r="G31" s="82">
        <f>+calcB!O40</f>
        <v>143.53424657534245</v>
      </c>
      <c r="I31" s="63"/>
      <c r="J31" s="63"/>
      <c r="K31" s="58"/>
      <c r="L31" s="58"/>
    </row>
    <row r="32" spans="2:12" ht="15.9" customHeight="1">
      <c r="B32" s="68" t="s">
        <v>17</v>
      </c>
      <c r="C32" s="69">
        <f>+calcB!G41</f>
        <v>30</v>
      </c>
      <c r="D32" s="70">
        <f>IF(C32=0,"",+calcB!M41)</f>
        <v>0.7</v>
      </c>
      <c r="E32" s="82">
        <f t="shared" si="0"/>
        <v>138.9041095890411</v>
      </c>
      <c r="F32" s="82">
        <f>+calcB!N41</f>
        <v>0</v>
      </c>
      <c r="G32" s="82">
        <f>+calcB!O41</f>
        <v>138.9041095890411</v>
      </c>
      <c r="I32" s="63"/>
      <c r="J32" s="63"/>
      <c r="K32" s="58"/>
      <c r="L32" s="58"/>
    </row>
    <row r="33" spans="1:12" ht="15.9" customHeight="1">
      <c r="B33" s="68" t="s">
        <v>18</v>
      </c>
      <c r="C33" s="69">
        <f>+calcB!G42</f>
        <v>31</v>
      </c>
      <c r="D33" s="70">
        <f>IF(C33=0,"",+calcB!M42)</f>
        <v>0.7</v>
      </c>
      <c r="E33" s="82">
        <f t="shared" si="0"/>
        <v>143.53424657534245</v>
      </c>
      <c r="F33" s="82">
        <f>+calcB!N42</f>
        <v>0</v>
      </c>
      <c r="G33" s="82">
        <f>+calcB!O42</f>
        <v>143.53424657534245</v>
      </c>
      <c r="I33" s="58"/>
      <c r="J33" s="58"/>
      <c r="K33" s="58"/>
      <c r="L33" s="58"/>
    </row>
    <row r="34" spans="1:12" ht="15.9" customHeight="1">
      <c r="B34" s="71" t="s">
        <v>82</v>
      </c>
      <c r="C34" s="72">
        <f>SUM(C22:C33)</f>
        <v>365</v>
      </c>
      <c r="D34" s="73"/>
      <c r="E34" s="83">
        <f>SUM(E22:E33)</f>
        <v>1690</v>
      </c>
      <c r="F34" s="83">
        <f>SUM(F22:F33)</f>
        <v>0</v>
      </c>
      <c r="G34" s="83">
        <f>SUM(G22:G33)</f>
        <v>1690</v>
      </c>
      <c r="I34" s="58"/>
      <c r="J34" s="58"/>
      <c r="K34" s="58"/>
      <c r="L34" s="58"/>
    </row>
    <row r="35" spans="1:12" ht="15.9" customHeight="1">
      <c r="B35" s="8"/>
      <c r="C35" s="8"/>
      <c r="D35" s="12"/>
      <c r="E35" s="12"/>
      <c r="F35" s="12"/>
      <c r="G35" s="12"/>
      <c r="I35" s="58"/>
      <c r="J35" s="58"/>
      <c r="K35" s="58"/>
      <c r="L35" s="58"/>
    </row>
    <row r="36" spans="1:12" ht="15.9" customHeight="1">
      <c r="B36" s="163" t="s">
        <v>33</v>
      </c>
      <c r="C36" s="13"/>
      <c r="D36" s="8"/>
      <c r="E36" s="8"/>
      <c r="F36" s="8"/>
      <c r="G36" s="9">
        <f>+calcB!E23</f>
        <v>2026</v>
      </c>
      <c r="I36" s="58"/>
      <c r="J36" s="58"/>
      <c r="K36" s="58"/>
      <c r="L36" s="58"/>
    </row>
    <row r="37" spans="1:12" ht="15.9" customHeight="1">
      <c r="B37" s="8" t="s">
        <v>237</v>
      </c>
      <c r="C37" s="8"/>
      <c r="G37" s="11">
        <f>+G34</f>
        <v>1690</v>
      </c>
      <c r="I37" s="58"/>
      <c r="J37" s="58"/>
      <c r="K37" s="58"/>
      <c r="L37" s="58"/>
    </row>
    <row r="38" spans="1:12" ht="15.9" customHeight="1">
      <c r="B38" s="8" t="s">
        <v>84</v>
      </c>
      <c r="C38" s="8"/>
      <c r="D38" s="8"/>
      <c r="E38" s="8"/>
      <c r="F38" s="161" t="str">
        <f>"(op "&amp;TEXT($E$34,"#.###,00")&amp;")"</f>
        <v>(op 1.690,00)</v>
      </c>
      <c r="G38" s="11">
        <f>+E34*0.4</f>
        <v>676</v>
      </c>
      <c r="I38" s="58"/>
      <c r="J38" s="58"/>
      <c r="K38" s="58"/>
      <c r="L38" s="58"/>
    </row>
    <row r="39" spans="1:12" ht="15.9" customHeight="1">
      <c r="B39" s="8" t="s">
        <v>85</v>
      </c>
      <c r="C39" s="8"/>
      <c r="D39" s="8"/>
      <c r="E39" s="8"/>
      <c r="F39" s="161" t="str">
        <f>"(op "&amp;TEXT($E$34,"#.###,00")&amp;")"</f>
        <v>(op 1.690,00)</v>
      </c>
      <c r="G39" s="11">
        <f>+E34*0.17</f>
        <v>287.3</v>
      </c>
      <c r="I39" s="58"/>
      <c r="J39" s="58"/>
      <c r="K39" s="58"/>
      <c r="L39" s="58"/>
    </row>
    <row r="40" spans="1:12" ht="15.9" customHeight="1">
      <c r="B40" s="8"/>
      <c r="C40" s="8"/>
      <c r="D40" s="8"/>
      <c r="E40" s="8"/>
      <c r="F40" s="8"/>
      <c r="G40" s="8"/>
      <c r="I40" s="58"/>
      <c r="J40" s="58"/>
      <c r="K40" s="58"/>
      <c r="L40" s="58"/>
    </row>
    <row r="41" spans="1:12" ht="15.9" customHeight="1">
      <c r="A41" s="63"/>
      <c r="B41" s="63"/>
      <c r="C41" s="63"/>
      <c r="D41" s="63"/>
      <c r="E41" s="63"/>
      <c r="F41" s="63"/>
      <c r="G41" s="63"/>
      <c r="H41" s="63"/>
      <c r="I41" s="58"/>
      <c r="J41" s="58"/>
      <c r="K41" s="58"/>
      <c r="L41" s="58"/>
    </row>
  </sheetData>
  <sheetProtection algorithmName="SHA-512" hashValue="s7/ZYrKT2s/XjisvZz6Z9YVMDIwmYWowETJkHqXBf7OSJtRWS/N62+anOGY3sFZgnyJMIwqPh9Rcj5yCsBiFKQ==" saltValue="PPC9ohjdYBsVPGIhGNaZTA==" spinCount="100000" sheet="1" objects="1" scenarios="1"/>
  <mergeCells count="1">
    <mergeCell ref="B2:G2"/>
  </mergeCells>
  <hyperlinks>
    <hyperlink ref="I2" location="'Home B'!A1" tooltip="Home" display="Ç" xr:uid="{508B29CB-13F8-4361-8730-7930B66B0AD2}"/>
  </hyperlinks>
  <pageMargins left="0.78740157480314965" right="0.78740157480314965" top="0.78740157480314965" bottom="0.78740157480314965" header="0.31496062992125984" footer="0.31496062992125984"/>
  <pageSetup paperSize="9" orientation="portrait" horizontalDpi="300" verticalDpi="3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2" r:id="rId4" name="Drop Down 2">
              <controlPr defaultSize="0" autoFill="0" autoLine="0" autoPict="0">
                <anchor moveWithCells="1" sizeWithCells="1">
                  <from>
                    <xdr:col>6</xdr:col>
                    <xdr:colOff>0</xdr:colOff>
                    <xdr:row>5</xdr:row>
                    <xdr:rowOff>0</xdr:rowOff>
                  </from>
                  <to>
                    <xdr:col>7</xdr:col>
                    <xdr:colOff>30480</xdr:colOff>
                    <xdr:row>6</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1E47-A9E8-4187-9142-F81C63CCC533}">
  <sheetPr codeName="Sheet10">
    <tabColor theme="6" tint="0.79998168889431442"/>
  </sheetPr>
  <dimension ref="A1:AD44"/>
  <sheetViews>
    <sheetView showGridLines="0" showRowColHeaders="0" workbookViewId="0"/>
  </sheetViews>
  <sheetFormatPr defaultColWidth="9.125" defaultRowHeight="12"/>
  <cols>
    <col min="1" max="1" width="9.125" style="25"/>
    <col min="2" max="2" width="3.875" style="32" customWidth="1"/>
    <col min="3" max="3" width="2.75" style="25" bestFit="1" customWidth="1"/>
    <col min="4" max="4" width="24.75" style="25" bestFit="1" customWidth="1"/>
    <col min="5" max="5" width="11.625" style="25" bestFit="1" customWidth="1"/>
    <col min="6" max="6" width="10" style="25" customWidth="1"/>
    <col min="7" max="7" width="17.25" style="25" bestFit="1" customWidth="1"/>
    <col min="8" max="8" width="11.25" style="25" customWidth="1"/>
    <col min="9" max="9" width="9.625" style="25" bestFit="1" customWidth="1"/>
    <col min="10" max="10" width="11.375" style="25" customWidth="1"/>
    <col min="11" max="11" width="7.625" style="25" bestFit="1" customWidth="1"/>
    <col min="12" max="13" width="9" style="25" customWidth="1"/>
    <col min="14" max="14" width="15.625" style="25" bestFit="1" customWidth="1"/>
    <col min="15" max="15" width="8" style="25" customWidth="1"/>
    <col min="16" max="16" width="7.625" style="25" bestFit="1" customWidth="1"/>
    <col min="17" max="20" width="9" style="25" bestFit="1" customWidth="1"/>
    <col min="21" max="21" width="5.625" style="25" bestFit="1" customWidth="1"/>
    <col min="22" max="22" width="6.125" style="25" bestFit="1" customWidth="1"/>
    <col min="23" max="23" width="6" style="25" bestFit="1" customWidth="1"/>
    <col min="24" max="24" width="11.625" style="25" bestFit="1" customWidth="1"/>
    <col min="25" max="25" width="7.125" style="25" bestFit="1" customWidth="1"/>
    <col min="26" max="26" width="7.625" style="25" bestFit="1" customWidth="1"/>
    <col min="27" max="27" width="11.25" style="25" bestFit="1" customWidth="1"/>
    <col min="28" max="28" width="7.125" style="25" bestFit="1" customWidth="1"/>
    <col min="29" max="29" width="7.625" style="25" bestFit="1" customWidth="1"/>
    <col min="30" max="30" width="10.375" style="25" bestFit="1" customWidth="1"/>
    <col min="31" max="31" width="1.875" style="25" bestFit="1" customWidth="1"/>
    <col min="32" max="16384" width="9.125" style="25"/>
  </cols>
  <sheetData>
    <row r="1" spans="1:8">
      <c r="A1" s="170" t="str">
        <f ca="1">IF(TODAY()&gt;DTM+365,"Deze rekentool is mogelijk verouderd. Download de meest recente versie",Home!B4)</f>
        <v>Voordeel alle aard auto 2026</v>
      </c>
    </row>
    <row r="3" spans="1:8">
      <c r="D3" s="25" t="s">
        <v>53</v>
      </c>
      <c r="E3" s="25">
        <f>+E23</f>
        <v>2026</v>
      </c>
      <c r="G3" s="181">
        <f>IF(YEAR('1B'!G11)=E3,'1B'!G11,EOMONTH('1B'!G11,-1)+1)</f>
        <v>36526</v>
      </c>
      <c r="H3" s="31">
        <f>DATE(E3+1,1,1)</f>
        <v>46388</v>
      </c>
    </row>
    <row r="4" spans="1:8">
      <c r="D4" s="178" t="s">
        <v>54</v>
      </c>
      <c r="E4" s="179">
        <f>+'1B'!G12</f>
        <v>36526</v>
      </c>
      <c r="G4" s="31"/>
      <c r="H4" s="31"/>
    </row>
    <row r="5" spans="1:8">
      <c r="D5" s="178" t="s">
        <v>250</v>
      </c>
      <c r="E5" s="179">
        <f>DATE(G5,G6,G7)</f>
        <v>36526</v>
      </c>
      <c r="G5" s="178">
        <f>YEAR(G3)</f>
        <v>2000</v>
      </c>
    </row>
    <row r="6" spans="1:8">
      <c r="D6" s="25" t="s">
        <v>55</v>
      </c>
      <c r="E6" s="25">
        <f>+'1B'!G9</f>
        <v>0</v>
      </c>
      <c r="G6" s="178">
        <f>MONTH(G3)</f>
        <v>1</v>
      </c>
    </row>
    <row r="7" spans="1:8">
      <c r="D7" s="25" t="s">
        <v>56</v>
      </c>
      <c r="E7" s="25">
        <f>+'1B'!G10</f>
        <v>0</v>
      </c>
      <c r="G7" s="180">
        <f>DAY(G3)</f>
        <v>1</v>
      </c>
    </row>
    <row r="8" spans="1:8">
      <c r="D8" s="25" t="s">
        <v>57</v>
      </c>
      <c r="E8" s="223">
        <f>IF('1B'!G13&gt;0,'1B'!G13,calcB!H3)</f>
        <v>46388</v>
      </c>
    </row>
    <row r="10" spans="1:8">
      <c r="B10" s="177">
        <v>7</v>
      </c>
      <c r="C10" s="26">
        <v>1</v>
      </c>
      <c r="D10" s="27" t="s">
        <v>4</v>
      </c>
    </row>
    <row r="11" spans="1:8">
      <c r="C11" s="26">
        <v>2</v>
      </c>
      <c r="D11" s="27" t="s">
        <v>41</v>
      </c>
    </row>
    <row r="12" spans="1:8">
      <c r="C12" s="26">
        <v>3</v>
      </c>
      <c r="D12" s="27" t="s">
        <v>42</v>
      </c>
    </row>
    <row r="13" spans="1:8">
      <c r="C13" s="26">
        <v>4</v>
      </c>
      <c r="D13" s="27" t="s">
        <v>5</v>
      </c>
    </row>
    <row r="14" spans="1:8" ht="12" customHeight="1">
      <c r="C14" s="26">
        <v>5</v>
      </c>
      <c r="D14" s="27" t="s">
        <v>43</v>
      </c>
    </row>
    <row r="15" spans="1:8">
      <c r="C15" s="26">
        <v>6</v>
      </c>
      <c r="D15" s="27" t="s">
        <v>44</v>
      </c>
    </row>
    <row r="16" spans="1:8">
      <c r="C16" s="26">
        <v>7</v>
      </c>
      <c r="D16" s="27" t="s">
        <v>21</v>
      </c>
    </row>
    <row r="17" spans="2:30">
      <c r="C17" s="26">
        <v>8</v>
      </c>
      <c r="D17" s="27" t="s">
        <v>23</v>
      </c>
    </row>
    <row r="18" spans="2:30">
      <c r="C18" s="26">
        <v>9</v>
      </c>
      <c r="D18" s="27" t="s">
        <v>45</v>
      </c>
    </row>
    <row r="19" spans="2:30">
      <c r="C19" s="26">
        <v>10</v>
      </c>
      <c r="D19" s="27" t="s">
        <v>46</v>
      </c>
    </row>
    <row r="21" spans="2:30">
      <c r="J21" s="30" t="s">
        <v>25</v>
      </c>
      <c r="K21" s="30" t="s">
        <v>24</v>
      </c>
      <c r="L21" s="30" t="s">
        <v>25</v>
      </c>
      <c r="M21" s="30" t="s">
        <v>24</v>
      </c>
    </row>
    <row r="22" spans="2:30" ht="14.4">
      <c r="B22" s="177">
        <v>1</v>
      </c>
      <c r="D22" s="25" t="s">
        <v>66</v>
      </c>
      <c r="E22" s="26" t="s">
        <v>27</v>
      </c>
      <c r="F22" s="26" t="s">
        <v>47</v>
      </c>
      <c r="G22" s="26" t="s">
        <v>28</v>
      </c>
      <c r="H22" s="26" t="s">
        <v>38</v>
      </c>
      <c r="I22" s="26" t="s">
        <v>39</v>
      </c>
      <c r="J22" s="257" t="s">
        <v>31</v>
      </c>
      <c r="K22" s="257"/>
      <c r="L22" s="257" t="s">
        <v>79</v>
      </c>
      <c r="M22" s="257"/>
      <c r="N22" s="26" t="s">
        <v>40</v>
      </c>
      <c r="O22" s="26" t="s">
        <v>32</v>
      </c>
      <c r="P22" s="26" t="s">
        <v>72</v>
      </c>
      <c r="Q22" s="25" t="s">
        <v>60</v>
      </c>
      <c r="R22" s="25" t="s">
        <v>51</v>
      </c>
      <c r="S22" s="25" t="s">
        <v>61</v>
      </c>
      <c r="T22" s="25" t="s">
        <v>62</v>
      </c>
      <c r="U22" s="25" t="s">
        <v>52</v>
      </c>
      <c r="V22" s="25" t="s">
        <v>49</v>
      </c>
      <c r="W22" s="25" t="s">
        <v>63</v>
      </c>
      <c r="X22" s="25" t="s">
        <v>64</v>
      </c>
      <c r="Y22" s="25" t="s">
        <v>65</v>
      </c>
      <c r="Z22" s="25" t="s">
        <v>58</v>
      </c>
      <c r="AA22" s="25" t="s">
        <v>48</v>
      </c>
      <c r="AB22" s="25" t="s">
        <v>59</v>
      </c>
      <c r="AC22" s="25" t="s">
        <v>58</v>
      </c>
      <c r="AD22" s="25" t="s">
        <v>48</v>
      </c>
    </row>
    <row r="23" spans="2:30">
      <c r="D23" s="52" cm="1">
        <f t="array" ref="D23">INDEX(D24:D27,$B$22)</f>
        <v>1183</v>
      </c>
      <c r="E23" s="40" cm="1">
        <f t="array" ref="E23">INDEX(E24:E27,$B$22)</f>
        <v>2026</v>
      </c>
      <c r="F23" s="41" cm="1">
        <f t="array" ref="F23">INDEX(F24:F27,$B$22)</f>
        <v>5.5E-2</v>
      </c>
      <c r="G23" s="42" cm="1">
        <f t="array" ref="G23">INDEX(G24:G27,$B$22)</f>
        <v>1E-3</v>
      </c>
      <c r="H23" s="43" cm="1">
        <f t="array" ref="H23">INDEX(H24:H27,$B$22)</f>
        <v>0.04</v>
      </c>
      <c r="I23" s="43" cm="1">
        <f t="array" ref="I23">INDEX(I24:I27,$B$22)</f>
        <v>0.18</v>
      </c>
      <c r="J23" s="40" cm="1">
        <f t="array" ref="J23">INDEX(J24:J27,$B$22)</f>
        <v>70</v>
      </c>
      <c r="K23" s="40" cm="1">
        <f t="array" ref="K23">INDEX(K24:K27,$B$22)</f>
        <v>58</v>
      </c>
      <c r="L23" s="40" cm="1">
        <f t="array" ref="L23">INDEX(L24:L27,$B$22)</f>
        <v>205</v>
      </c>
      <c r="M23" s="40" cm="1">
        <f t="array" ref="M23">INDEX(M24:M27,$B$22)</f>
        <v>195</v>
      </c>
      <c r="N23" s="44" cm="1">
        <f t="array" ref="N23">INDEX(N24:N27,$B$22)</f>
        <v>1690</v>
      </c>
      <c r="O23" s="44" cm="1">
        <f t="array" ref="O23">INDEX(O24:O27,$B$22)</f>
        <v>1690</v>
      </c>
      <c r="P23" s="42" cm="1">
        <f t="array" ref="P23">INDEX(P24:P27,$B$22)</f>
        <v>0.04</v>
      </c>
      <c r="Q23" s="45" cm="1">
        <f t="array" ref="Q23">INDEX(Q24:Q27,$B$22)</f>
        <v>1690</v>
      </c>
      <c r="R23" s="46" cm="1">
        <f t="array" ref="R23">INDEX(R24:R27,$B$22)</f>
        <v>46023</v>
      </c>
      <c r="S23" s="46" cm="1">
        <f t="array" ref="S23">INDEX(S24:S27,$B$22)</f>
        <v>46023</v>
      </c>
      <c r="T23" s="46" cm="1">
        <f t="array" ref="T23">INDEX(T24:T27,$B$22)</f>
        <v>46387</v>
      </c>
      <c r="U23" s="47" cm="1">
        <f t="array" ref="U23">INDEX(U24:U27,$B$22)</f>
        <v>365</v>
      </c>
      <c r="V23" s="48" cm="1">
        <f t="array" ref="V23">INDEX(V24:V27,$B$22)</f>
        <v>365</v>
      </c>
      <c r="W23" s="47" cm="1">
        <f t="array" ref="W23">INDEX(W24:W27,$B$22)</f>
        <v>0</v>
      </c>
      <c r="X23" s="49" cm="1">
        <f t="array" ref="X23">INDEX(X24:X27,$B$22)</f>
        <v>365</v>
      </c>
      <c r="Y23" s="50" cm="1">
        <f t="array" ref="Y23">INDEX(Y24:Y27,$B$22)</f>
        <v>25</v>
      </c>
      <c r="Z23" s="51" cm="1">
        <f t="array" ref="Z23">INDEX(Z24:Z27,$B$22)</f>
        <v>0.7</v>
      </c>
      <c r="AA23" s="52" cm="1">
        <f t="array" ref="AA23">INDEX(AA24:AA27,$B$22)</f>
        <v>0</v>
      </c>
      <c r="AB23" s="50" cm="1">
        <f t="array" ref="AB23">INDEX(AB24:AB27,$B$22)</f>
        <v>26</v>
      </c>
      <c r="AC23" s="51" cm="1">
        <f t="array" ref="AC23">INDEX(AC24:AC27,$B$22)</f>
        <v>0.7</v>
      </c>
      <c r="AD23" s="52" cm="1">
        <f t="array" ref="AD23">INDEX(AD24:AD27,$B$22)</f>
        <v>1183</v>
      </c>
    </row>
    <row r="24" spans="2:30">
      <c r="D24" s="39">
        <f>+AD24+AA24</f>
        <v>1183</v>
      </c>
      <c r="E24" s="183">
        <v>2026</v>
      </c>
      <c r="F24" s="76">
        <v>5.5E-2</v>
      </c>
      <c r="G24" s="77">
        <v>1E-3</v>
      </c>
      <c r="H24" s="78">
        <v>0.04</v>
      </c>
      <c r="I24" s="78">
        <v>0.18</v>
      </c>
      <c r="J24" s="183">
        <v>70</v>
      </c>
      <c r="K24" s="183">
        <v>58</v>
      </c>
      <c r="L24" s="75">
        <v>205</v>
      </c>
      <c r="M24" s="75">
        <v>195</v>
      </c>
      <c r="N24" s="184">
        <v>1690</v>
      </c>
      <c r="O24" s="28">
        <f>+N24*V24/U24</f>
        <v>1690</v>
      </c>
      <c r="P24" s="53">
        <f>MIN(I24,MAX(H24,F24+($E$6-IF($B$10&lt;4,K24,J24))*G24))</f>
        <v>0.04</v>
      </c>
      <c r="Q24" s="29">
        <f>MAX(N24,MIN(I24,MAX(H24,F24+($E$6-IF($B$10&lt;4,K24,J24))*G24))*$E$7*6/7)</f>
        <v>1690</v>
      </c>
      <c r="R24" s="31">
        <f>MAX($E$5,DATE(E24,$G$6,$G$7))</f>
        <v>46023</v>
      </c>
      <c r="S24" s="31">
        <f>IF(YEAR($E$4)=E24,$E$4,DATE(E24,1,1))</f>
        <v>46023</v>
      </c>
      <c r="T24" s="31">
        <f>MIN($E$8-1,DATE(E24,12,31))</f>
        <v>46387</v>
      </c>
      <c r="U24" s="37">
        <f>_xlfn.DAYS(DATE(E24,12,31),DATE(E24,1,1))+1</f>
        <v>365</v>
      </c>
      <c r="V24" s="36">
        <f>_xlfn.DAYS(T24,S24)+1</f>
        <v>365</v>
      </c>
      <c r="W24" s="37">
        <f>MAX(0,MIN(V24,_xlfn.DAYS(R24,S24)))</f>
        <v>0</v>
      </c>
      <c r="X24" s="38">
        <f>MAX(0,_xlfn.DAYS(T24,R24)+1)</f>
        <v>365</v>
      </c>
      <c r="Y24" s="25">
        <f>MAX(0,IF(E24&lt;$G$5,0,YEARFRAC(R24,$E$5))-1)</f>
        <v>25</v>
      </c>
      <c r="Z24" s="33">
        <f>MAX(70%,100%-Y24*6%)</f>
        <v>0.7</v>
      </c>
      <c r="AA24" s="39">
        <f>+Q24*W24/U24*Z24</f>
        <v>0</v>
      </c>
      <c r="AB24" s="25">
        <f>IF(E24&lt;$G$5,0,YEARFRAC(R24,$E$5))</f>
        <v>26</v>
      </c>
      <c r="AC24" s="33">
        <f>MAX(70%,100%-AB24*6%)</f>
        <v>0.7</v>
      </c>
      <c r="AD24" s="39">
        <f>+Q24*X24/U24*AC24</f>
        <v>1183</v>
      </c>
    </row>
    <row r="25" spans="2:30">
      <c r="D25" s="39"/>
      <c r="E25" s="183">
        <v>2025</v>
      </c>
      <c r="F25" s="76">
        <v>5.5E-2</v>
      </c>
      <c r="G25" s="77">
        <v>1E-3</v>
      </c>
      <c r="H25" s="78">
        <v>0.04</v>
      </c>
      <c r="I25" s="78">
        <v>0.18</v>
      </c>
      <c r="J25" s="183">
        <v>71</v>
      </c>
      <c r="K25" s="183">
        <v>59</v>
      </c>
      <c r="L25" s="75">
        <v>205</v>
      </c>
      <c r="M25" s="75">
        <v>195</v>
      </c>
      <c r="N25" s="184">
        <v>1650</v>
      </c>
      <c r="O25" s="28"/>
      <c r="P25" s="53"/>
      <c r="Q25" s="29"/>
      <c r="R25" s="31"/>
      <c r="S25" s="31">
        <f>IF(YEAR($E$4)=E25,$E$4,DATE(E25,1,1))</f>
        <v>45658</v>
      </c>
      <c r="T25" s="31"/>
      <c r="U25" s="37"/>
      <c r="V25" s="36"/>
      <c r="W25" s="37"/>
      <c r="X25" s="38"/>
      <c r="Z25" s="33"/>
      <c r="AA25" s="39"/>
      <c r="AC25" s="33"/>
      <c r="AD25" s="39"/>
    </row>
    <row r="26" spans="2:30">
      <c r="D26" s="39"/>
      <c r="E26" s="183">
        <v>2024</v>
      </c>
      <c r="F26" s="76">
        <v>5.5E-2</v>
      </c>
      <c r="G26" s="77">
        <v>1E-3</v>
      </c>
      <c r="H26" s="78">
        <v>0.04</v>
      </c>
      <c r="I26" s="78">
        <v>0.18</v>
      </c>
      <c r="J26" s="183">
        <v>78</v>
      </c>
      <c r="K26" s="183">
        <v>65</v>
      </c>
      <c r="L26" s="75">
        <v>205</v>
      </c>
      <c r="M26" s="75">
        <v>195</v>
      </c>
      <c r="N26" s="184">
        <v>1600</v>
      </c>
      <c r="O26" s="28"/>
      <c r="P26" s="53"/>
      <c r="Q26" s="29"/>
      <c r="R26" s="31"/>
      <c r="S26" s="31">
        <f>IF(YEAR($E$4)=E26,$E$4,DATE(E26,1,1))</f>
        <v>45292</v>
      </c>
      <c r="T26" s="31"/>
      <c r="U26" s="37"/>
      <c r="V26" s="36"/>
      <c r="W26" s="37"/>
      <c r="X26" s="38"/>
      <c r="Z26" s="33"/>
      <c r="AA26" s="39"/>
      <c r="AC26" s="33"/>
      <c r="AD26" s="39"/>
    </row>
    <row r="27" spans="2:30">
      <c r="D27" s="39"/>
      <c r="E27" s="183">
        <v>2023</v>
      </c>
      <c r="F27" s="76">
        <v>5.5E-2</v>
      </c>
      <c r="G27" s="77">
        <v>1E-3</v>
      </c>
      <c r="H27" s="78">
        <v>0.04</v>
      </c>
      <c r="I27" s="78">
        <v>0.18</v>
      </c>
      <c r="J27" s="183">
        <v>82</v>
      </c>
      <c r="K27" s="183">
        <v>67</v>
      </c>
      <c r="L27" s="75">
        <v>205</v>
      </c>
      <c r="M27" s="75">
        <v>195</v>
      </c>
      <c r="N27" s="184">
        <v>1540</v>
      </c>
      <c r="O27" s="28"/>
      <c r="P27" s="53"/>
      <c r="Q27" s="29"/>
      <c r="R27" s="31"/>
      <c r="S27" s="31">
        <f>IF(YEAR($E$4)=E27,$E$4,DATE(E27,1,1))</f>
        <v>44927</v>
      </c>
      <c r="T27" s="31"/>
      <c r="U27" s="37"/>
      <c r="V27" s="36"/>
      <c r="W27" s="37"/>
      <c r="X27" s="38"/>
      <c r="Z27" s="33"/>
      <c r="AA27" s="39"/>
      <c r="AC27" s="33"/>
      <c r="AD27" s="39"/>
    </row>
    <row r="28" spans="2:30">
      <c r="U28" s="36"/>
    </row>
    <row r="30" spans="2:30">
      <c r="E30" s="25" t="s">
        <v>74</v>
      </c>
      <c r="F30" s="25" t="s">
        <v>75</v>
      </c>
      <c r="G30" s="25" t="s">
        <v>49</v>
      </c>
      <c r="H30" s="25" t="s">
        <v>63</v>
      </c>
      <c r="I30" s="25" t="s">
        <v>76</v>
      </c>
      <c r="J30" s="25" t="s">
        <v>77</v>
      </c>
      <c r="K30" s="25" t="s">
        <v>78</v>
      </c>
      <c r="L30" s="25" t="s">
        <v>86</v>
      </c>
      <c r="M30" s="25" t="s">
        <v>50</v>
      </c>
      <c r="N30" s="25" t="s">
        <v>239</v>
      </c>
      <c r="O30" s="25" t="s">
        <v>48</v>
      </c>
    </row>
    <row r="31" spans="2:30">
      <c r="D31" s="25">
        <v>1</v>
      </c>
      <c r="E31" s="179">
        <f t="shared" ref="E31:E42" si="0">MIN($E$8,MAX($E$4,DATE($E$23,D31,1)))</f>
        <v>46023</v>
      </c>
      <c r="F31" s="179">
        <f t="shared" ref="F31:F42" si="1">MAX($E$4-1,MIN($E$8-1,EOMONTH(DATE($E$23,D31,1),0)))</f>
        <v>46053</v>
      </c>
      <c r="G31" s="37">
        <f>MAX(0,_xlfn.DAYS(F31,E31)+1)</f>
        <v>31</v>
      </c>
      <c r="H31" s="66">
        <f t="shared" ref="H31:H42" si="2">MAX(0,_xlfn.DAYS(MIN($R$23-1,F31),E31)+1)</f>
        <v>0</v>
      </c>
      <c r="I31" s="66">
        <f t="shared" ref="I31:I42" si="3">MAX(0,_xlfn.DAYS(F31,MAX(E31,$R$23)-1))</f>
        <v>31</v>
      </c>
      <c r="J31" s="33">
        <f>+Z23</f>
        <v>0.7</v>
      </c>
      <c r="K31" s="33">
        <f>+AC23</f>
        <v>0.7</v>
      </c>
      <c r="L31" s="34">
        <f t="shared" ref="L31:L42" si="4">+G31/$G$43*$O$23</f>
        <v>143.53424657534245</v>
      </c>
      <c r="M31" s="35">
        <f t="shared" ref="M31:M42" si="5">(J31*H31+I31*K31)/(H31+I31)</f>
        <v>0.7</v>
      </c>
      <c r="N31" s="25">
        <f>IF(L31=0,0,+'1B'!$G$14)</f>
        <v>0</v>
      </c>
      <c r="O31" s="39">
        <f>MAX(0,MAX(L31,+H31/$U$23*J31*$Q$23+I31/$U$23*K31*$Q$23)-N31)</f>
        <v>143.53424657534245</v>
      </c>
    </row>
    <row r="32" spans="2:30">
      <c r="D32" s="25">
        <v>2</v>
      </c>
      <c r="E32" s="179">
        <f t="shared" si="0"/>
        <v>46054</v>
      </c>
      <c r="F32" s="179">
        <f t="shared" si="1"/>
        <v>46081</v>
      </c>
      <c r="G32" s="37">
        <f t="shared" ref="G32:G42" si="6">MAX(0,_xlfn.DAYS(F32,E32)+1)</f>
        <v>28</v>
      </c>
      <c r="H32" s="66">
        <f t="shared" si="2"/>
        <v>0</v>
      </c>
      <c r="I32" s="66">
        <f t="shared" si="3"/>
        <v>28</v>
      </c>
      <c r="J32" s="33">
        <f>+J31</f>
        <v>0.7</v>
      </c>
      <c r="K32" s="33">
        <f>+K31</f>
        <v>0.7</v>
      </c>
      <c r="L32" s="34">
        <f t="shared" si="4"/>
        <v>129.64383561643837</v>
      </c>
      <c r="M32" s="35">
        <f t="shared" si="5"/>
        <v>0.7</v>
      </c>
      <c r="N32" s="25">
        <f>IF(L32=0,0,+'1B'!$G$14)</f>
        <v>0</v>
      </c>
      <c r="O32" s="39">
        <f>MAX(0,MAX(L32,+H32/$U$23*J32*$Q$23+I32/$U$23*K32*$Q$23)-N32)</f>
        <v>129.64383561643837</v>
      </c>
    </row>
    <row r="33" spans="4:15">
      <c r="D33" s="25">
        <v>3</v>
      </c>
      <c r="E33" s="179">
        <f t="shared" si="0"/>
        <v>46082</v>
      </c>
      <c r="F33" s="179">
        <f t="shared" si="1"/>
        <v>46112</v>
      </c>
      <c r="G33" s="37">
        <f t="shared" si="6"/>
        <v>31</v>
      </c>
      <c r="H33" s="66">
        <f t="shared" si="2"/>
        <v>0</v>
      </c>
      <c r="I33" s="66">
        <f t="shared" si="3"/>
        <v>31</v>
      </c>
      <c r="J33" s="33">
        <f t="shared" ref="J33:K42" si="7">+J32</f>
        <v>0.7</v>
      </c>
      <c r="K33" s="33">
        <f t="shared" si="7"/>
        <v>0.7</v>
      </c>
      <c r="L33" s="34">
        <f t="shared" si="4"/>
        <v>143.53424657534245</v>
      </c>
      <c r="M33" s="35">
        <f t="shared" si="5"/>
        <v>0.7</v>
      </c>
      <c r="N33" s="25">
        <f>IF(L33=0,0,+'1B'!$G$14)</f>
        <v>0</v>
      </c>
      <c r="O33" s="39">
        <f t="shared" ref="O33:O42" si="8">MAX(0,MAX(L33,+H33/$U$23*J33*$Q$23+I33/$U$23*K33*$Q$23)-N33)</f>
        <v>143.53424657534245</v>
      </c>
    </row>
    <row r="34" spans="4:15">
      <c r="D34" s="25">
        <v>4</v>
      </c>
      <c r="E34" s="179">
        <f t="shared" si="0"/>
        <v>46113</v>
      </c>
      <c r="F34" s="179">
        <f t="shared" si="1"/>
        <v>46142</v>
      </c>
      <c r="G34" s="37">
        <f t="shared" si="6"/>
        <v>30</v>
      </c>
      <c r="H34" s="66">
        <f t="shared" si="2"/>
        <v>0</v>
      </c>
      <c r="I34" s="66">
        <f t="shared" si="3"/>
        <v>30</v>
      </c>
      <c r="J34" s="33">
        <f t="shared" si="7"/>
        <v>0.7</v>
      </c>
      <c r="K34" s="33">
        <f t="shared" si="7"/>
        <v>0.7</v>
      </c>
      <c r="L34" s="34">
        <f t="shared" si="4"/>
        <v>138.9041095890411</v>
      </c>
      <c r="M34" s="35">
        <f t="shared" si="5"/>
        <v>0.7</v>
      </c>
      <c r="N34" s="25">
        <f>IF(L34=0,0,+'1B'!$G$14)</f>
        <v>0</v>
      </c>
      <c r="O34" s="39">
        <f t="shared" si="8"/>
        <v>138.9041095890411</v>
      </c>
    </row>
    <row r="35" spans="4:15">
      <c r="D35" s="25">
        <v>5</v>
      </c>
      <c r="E35" s="179">
        <f t="shared" si="0"/>
        <v>46143</v>
      </c>
      <c r="F35" s="179">
        <f t="shared" si="1"/>
        <v>46173</v>
      </c>
      <c r="G35" s="37">
        <f t="shared" si="6"/>
        <v>31</v>
      </c>
      <c r="H35" s="66">
        <f t="shared" si="2"/>
        <v>0</v>
      </c>
      <c r="I35" s="66">
        <f t="shared" si="3"/>
        <v>31</v>
      </c>
      <c r="J35" s="33">
        <f t="shared" si="7"/>
        <v>0.7</v>
      </c>
      <c r="K35" s="33">
        <f t="shared" si="7"/>
        <v>0.7</v>
      </c>
      <c r="L35" s="34">
        <f t="shared" si="4"/>
        <v>143.53424657534245</v>
      </c>
      <c r="M35" s="35">
        <f t="shared" si="5"/>
        <v>0.7</v>
      </c>
      <c r="N35" s="25">
        <f>IF(L35=0,0,+'1B'!$G$14)</f>
        <v>0</v>
      </c>
      <c r="O35" s="39">
        <f t="shared" si="8"/>
        <v>143.53424657534245</v>
      </c>
    </row>
    <row r="36" spans="4:15">
      <c r="D36" s="25">
        <v>6</v>
      </c>
      <c r="E36" s="179">
        <f t="shared" si="0"/>
        <v>46174</v>
      </c>
      <c r="F36" s="179">
        <f t="shared" si="1"/>
        <v>46203</v>
      </c>
      <c r="G36" s="37">
        <f t="shared" si="6"/>
        <v>30</v>
      </c>
      <c r="H36" s="66">
        <f t="shared" si="2"/>
        <v>0</v>
      </c>
      <c r="I36" s="66">
        <f t="shared" si="3"/>
        <v>30</v>
      </c>
      <c r="J36" s="33">
        <f t="shared" si="7"/>
        <v>0.7</v>
      </c>
      <c r="K36" s="33">
        <f t="shared" si="7"/>
        <v>0.7</v>
      </c>
      <c r="L36" s="34">
        <f t="shared" si="4"/>
        <v>138.9041095890411</v>
      </c>
      <c r="M36" s="35">
        <f t="shared" si="5"/>
        <v>0.7</v>
      </c>
      <c r="N36" s="25">
        <f>IF(L36=0,0,+'1B'!$G$14)</f>
        <v>0</v>
      </c>
      <c r="O36" s="39">
        <f t="shared" si="8"/>
        <v>138.9041095890411</v>
      </c>
    </row>
    <row r="37" spans="4:15">
      <c r="D37" s="25">
        <v>7</v>
      </c>
      <c r="E37" s="179">
        <f t="shared" si="0"/>
        <v>46204</v>
      </c>
      <c r="F37" s="179">
        <f t="shared" si="1"/>
        <v>46234</v>
      </c>
      <c r="G37" s="37">
        <f t="shared" si="6"/>
        <v>31</v>
      </c>
      <c r="H37" s="66">
        <f t="shared" si="2"/>
        <v>0</v>
      </c>
      <c r="I37" s="66">
        <f t="shared" si="3"/>
        <v>31</v>
      </c>
      <c r="J37" s="33">
        <f t="shared" si="7"/>
        <v>0.7</v>
      </c>
      <c r="K37" s="33">
        <f t="shared" si="7"/>
        <v>0.7</v>
      </c>
      <c r="L37" s="34">
        <f t="shared" si="4"/>
        <v>143.53424657534245</v>
      </c>
      <c r="M37" s="35">
        <f t="shared" si="5"/>
        <v>0.7</v>
      </c>
      <c r="N37" s="25">
        <f>IF(L37=0,0,+'1B'!$G$14)</f>
        <v>0</v>
      </c>
      <c r="O37" s="39">
        <f t="shared" si="8"/>
        <v>143.53424657534245</v>
      </c>
    </row>
    <row r="38" spans="4:15">
      <c r="D38" s="25">
        <v>8</v>
      </c>
      <c r="E38" s="179">
        <f t="shared" si="0"/>
        <v>46235</v>
      </c>
      <c r="F38" s="179">
        <f t="shared" si="1"/>
        <v>46265</v>
      </c>
      <c r="G38" s="37">
        <f t="shared" si="6"/>
        <v>31</v>
      </c>
      <c r="H38" s="66">
        <f t="shared" si="2"/>
        <v>0</v>
      </c>
      <c r="I38" s="66">
        <f t="shared" si="3"/>
        <v>31</v>
      </c>
      <c r="J38" s="33">
        <f t="shared" si="7"/>
        <v>0.7</v>
      </c>
      <c r="K38" s="33">
        <f t="shared" si="7"/>
        <v>0.7</v>
      </c>
      <c r="L38" s="34">
        <f t="shared" si="4"/>
        <v>143.53424657534245</v>
      </c>
      <c r="M38" s="35">
        <f t="shared" si="5"/>
        <v>0.7</v>
      </c>
      <c r="N38" s="25">
        <f>IF(L38=0,0,+'1B'!$G$14)</f>
        <v>0</v>
      </c>
      <c r="O38" s="39">
        <f t="shared" si="8"/>
        <v>143.53424657534245</v>
      </c>
    </row>
    <row r="39" spans="4:15">
      <c r="D39" s="25">
        <v>9</v>
      </c>
      <c r="E39" s="179">
        <f t="shared" si="0"/>
        <v>46266</v>
      </c>
      <c r="F39" s="179">
        <f t="shared" si="1"/>
        <v>46295</v>
      </c>
      <c r="G39" s="37">
        <f t="shared" si="6"/>
        <v>30</v>
      </c>
      <c r="H39" s="66">
        <f t="shared" si="2"/>
        <v>0</v>
      </c>
      <c r="I39" s="66">
        <f t="shared" si="3"/>
        <v>30</v>
      </c>
      <c r="J39" s="33">
        <f t="shared" si="7"/>
        <v>0.7</v>
      </c>
      <c r="K39" s="33">
        <f t="shared" si="7"/>
        <v>0.7</v>
      </c>
      <c r="L39" s="34">
        <f t="shared" si="4"/>
        <v>138.9041095890411</v>
      </c>
      <c r="M39" s="35">
        <f t="shared" si="5"/>
        <v>0.7</v>
      </c>
      <c r="N39" s="25">
        <f>IF(L39=0,0,+'1B'!$G$14)</f>
        <v>0</v>
      </c>
      <c r="O39" s="39">
        <f t="shared" si="8"/>
        <v>138.9041095890411</v>
      </c>
    </row>
    <row r="40" spans="4:15">
      <c r="D40" s="25">
        <v>10</v>
      </c>
      <c r="E40" s="179">
        <f t="shared" si="0"/>
        <v>46296</v>
      </c>
      <c r="F40" s="179">
        <f t="shared" si="1"/>
        <v>46326</v>
      </c>
      <c r="G40" s="37">
        <f t="shared" si="6"/>
        <v>31</v>
      </c>
      <c r="H40" s="66">
        <f t="shared" si="2"/>
        <v>0</v>
      </c>
      <c r="I40" s="66">
        <f t="shared" si="3"/>
        <v>31</v>
      </c>
      <c r="J40" s="33">
        <f t="shared" si="7"/>
        <v>0.7</v>
      </c>
      <c r="K40" s="33">
        <f t="shared" si="7"/>
        <v>0.7</v>
      </c>
      <c r="L40" s="34">
        <f t="shared" si="4"/>
        <v>143.53424657534245</v>
      </c>
      <c r="M40" s="35">
        <f t="shared" si="5"/>
        <v>0.7</v>
      </c>
      <c r="N40" s="25">
        <f>IF(L40=0,0,+'1B'!$G$14)</f>
        <v>0</v>
      </c>
      <c r="O40" s="39">
        <f t="shared" si="8"/>
        <v>143.53424657534245</v>
      </c>
    </row>
    <row r="41" spans="4:15">
      <c r="D41" s="25">
        <v>11</v>
      </c>
      <c r="E41" s="179">
        <f t="shared" si="0"/>
        <v>46327</v>
      </c>
      <c r="F41" s="179">
        <f t="shared" si="1"/>
        <v>46356</v>
      </c>
      <c r="G41" s="37">
        <f t="shared" si="6"/>
        <v>30</v>
      </c>
      <c r="H41" s="66">
        <f t="shared" si="2"/>
        <v>0</v>
      </c>
      <c r="I41" s="66">
        <f t="shared" si="3"/>
        <v>30</v>
      </c>
      <c r="J41" s="33">
        <f t="shared" si="7"/>
        <v>0.7</v>
      </c>
      <c r="K41" s="33">
        <f t="shared" si="7"/>
        <v>0.7</v>
      </c>
      <c r="L41" s="34">
        <f t="shared" si="4"/>
        <v>138.9041095890411</v>
      </c>
      <c r="M41" s="35">
        <f t="shared" si="5"/>
        <v>0.7</v>
      </c>
      <c r="N41" s="25">
        <f>IF(L41=0,0,+'1B'!$G$14)</f>
        <v>0</v>
      </c>
      <c r="O41" s="39">
        <f t="shared" si="8"/>
        <v>138.9041095890411</v>
      </c>
    </row>
    <row r="42" spans="4:15">
      <c r="D42" s="25">
        <v>12</v>
      </c>
      <c r="E42" s="179">
        <f t="shared" si="0"/>
        <v>46357</v>
      </c>
      <c r="F42" s="179">
        <f t="shared" si="1"/>
        <v>46387</v>
      </c>
      <c r="G42" s="37">
        <f t="shared" si="6"/>
        <v>31</v>
      </c>
      <c r="H42" s="66">
        <f t="shared" si="2"/>
        <v>0</v>
      </c>
      <c r="I42" s="66">
        <f t="shared" si="3"/>
        <v>31</v>
      </c>
      <c r="J42" s="33">
        <f t="shared" si="7"/>
        <v>0.7</v>
      </c>
      <c r="K42" s="33">
        <f t="shared" si="7"/>
        <v>0.7</v>
      </c>
      <c r="L42" s="34">
        <f t="shared" si="4"/>
        <v>143.53424657534245</v>
      </c>
      <c r="M42" s="35">
        <f t="shared" si="5"/>
        <v>0.7</v>
      </c>
      <c r="N42" s="25">
        <f>IF(L42=0,0,+'1B'!$G$14)</f>
        <v>0</v>
      </c>
      <c r="O42" s="39">
        <f t="shared" si="8"/>
        <v>143.53424657534245</v>
      </c>
    </row>
    <row r="43" spans="4:15">
      <c r="G43" s="37">
        <f>SUM(G31:G42)</f>
        <v>365</v>
      </c>
      <c r="H43" s="37">
        <f>SUM(H31:H42)</f>
        <v>0</v>
      </c>
      <c r="I43" s="37">
        <f>SUM(I31:I42)</f>
        <v>365</v>
      </c>
      <c r="L43" s="39">
        <f>SUM(L31:L42)</f>
        <v>1690</v>
      </c>
      <c r="M43" s="39"/>
      <c r="N43" s="39">
        <f>SUM(N31:N42)</f>
        <v>0</v>
      </c>
      <c r="O43" s="39">
        <f>SUM(O31:O42)</f>
        <v>1690</v>
      </c>
    </row>
    <row r="44" spans="4:15">
      <c r="L44" s="39">
        <f>+L43-O43</f>
        <v>0</v>
      </c>
    </row>
  </sheetData>
  <sheetProtection algorithmName="SHA-512" hashValue="n5ypqMbRkYde1HQGlz3Wfk9LnnnY/6CjBJjkFxwUvC+AZmJPEWJil5eplcVte61NHwl/jSU2Q15qyYx+TuvBbA==" saltValue="37Id4UHYUo8v4cvBhIekjA==" spinCount="100000" sheet="1" objects="1" scenarios="1"/>
  <mergeCells count="2">
    <mergeCell ref="J22:K22"/>
    <mergeCell ref="L22:M22"/>
  </mergeCells>
  <pageMargins left="0.7" right="0.7" top="0.75" bottom="0.75" header="0.3" footer="0.3"/>
  <pageSetup paperSize="9" orientation="portrait" horizontalDpi="300" verticalDpi="300" r:id="rId1"/>
  <headerFooter>
    <oddHeader>&amp;C&amp;Z&amp;F</oddHeader>
    <oddFooter>&amp;C&amp;P/&amp;N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8A4BC-327F-4B8F-9076-A76AF4F6767F}">
  <sheetPr codeName="Sheet6">
    <tabColor theme="9" tint="0.79998168889431442"/>
    <pageSetUpPr autoPageBreaks="0" fitToPage="1"/>
  </sheetPr>
  <dimension ref="B2:F28"/>
  <sheetViews>
    <sheetView showGridLines="0" showRowColHeaders="0" tabSelected="1" workbookViewId="0"/>
  </sheetViews>
  <sheetFormatPr defaultColWidth="5.75" defaultRowHeight="20.100000000000001" customHeight="1"/>
  <cols>
    <col min="1" max="1" width="5.75" style="120" customWidth="1"/>
    <col min="2" max="2" width="22.875" style="120" customWidth="1"/>
    <col min="3" max="3" width="18.625" style="120" customWidth="1"/>
    <col min="4" max="4" width="22.875" style="120" customWidth="1"/>
    <col min="5" max="5" width="18.625" style="120" customWidth="1"/>
    <col min="6" max="6" width="25.75" style="120" customWidth="1"/>
    <col min="7" max="9" width="5.75" style="120" customWidth="1"/>
    <col min="10" max="10" width="8.375" style="120" customWidth="1"/>
    <col min="11" max="16384" width="5.75" style="120"/>
  </cols>
  <sheetData>
    <row r="2" spans="2:6" ht="138.75" customHeight="1">
      <c r="B2" s="233">
        <f>DTM</f>
        <v>46030</v>
      </c>
      <c r="C2" s="233"/>
      <c r="D2" s="233"/>
      <c r="E2" s="233"/>
      <c r="F2" s="233"/>
    </row>
    <row r="3" spans="2:6" ht="20.100000000000001" customHeight="1">
      <c r="B3" s="119"/>
      <c r="C3" s="119"/>
      <c r="D3" s="119"/>
      <c r="E3" s="119"/>
      <c r="F3" s="119"/>
    </row>
    <row r="4" spans="2:6" ht="30" customHeight="1">
      <c r="B4" s="234" t="s">
        <v>276</v>
      </c>
      <c r="C4" s="234"/>
      <c r="D4" s="234"/>
      <c r="E4" s="234"/>
      <c r="F4" s="234"/>
    </row>
    <row r="17" spans="2:6" ht="20.100000000000001" customHeight="1">
      <c r="B17" s="136" t="s">
        <v>118</v>
      </c>
      <c r="C17" s="119"/>
      <c r="D17" s="119"/>
      <c r="E17" s="119"/>
      <c r="F17" s="119"/>
    </row>
    <row r="18" spans="2:6" ht="20.100000000000001" customHeight="1">
      <c r="B18" s="140" t="s">
        <v>119</v>
      </c>
      <c r="C18" s="124"/>
      <c r="D18" s="134"/>
      <c r="E18" s="126"/>
      <c r="F18" s="123"/>
    </row>
    <row r="19" spans="2:6" ht="20.100000000000001" customHeight="1">
      <c r="C19" s="119"/>
      <c r="D19" s="119"/>
      <c r="E19" s="119"/>
      <c r="F19" s="119"/>
    </row>
    <row r="20" spans="2:6" ht="20.100000000000001" customHeight="1" thickBot="1">
      <c r="C20" s="119"/>
      <c r="D20" s="119"/>
      <c r="E20" s="119"/>
      <c r="F20" s="119"/>
    </row>
    <row r="21" spans="2:6" ht="20.100000000000001" customHeight="1" thickTop="1" thickBot="1">
      <c r="B21" s="209" t="s">
        <v>265</v>
      </c>
      <c r="C21" s="133"/>
      <c r="D21" s="133"/>
      <c r="E21" s="133"/>
      <c r="F21" s="200" t="s">
        <v>266</v>
      </c>
    </row>
    <row r="22" spans="2:6" ht="12" thickTop="1">
      <c r="B22" s="130"/>
      <c r="C22" s="130"/>
      <c r="D22" s="130"/>
      <c r="E22" s="130"/>
      <c r="F22" s="130"/>
    </row>
    <row r="23" spans="2:6" ht="11.4">
      <c r="B23" s="131" t="s">
        <v>120</v>
      </c>
      <c r="C23" s="132"/>
      <c r="D23" s="132"/>
      <c r="E23" s="132"/>
      <c r="F23" s="132"/>
    </row>
    <row r="24" spans="2:6" ht="11.4">
      <c r="B24" s="131" t="s">
        <v>121</v>
      </c>
      <c r="C24" s="133"/>
      <c r="D24" s="133"/>
      <c r="E24" s="133"/>
      <c r="F24" s="133"/>
    </row>
    <row r="25" spans="2:6" ht="11.4">
      <c r="B25" s="130"/>
      <c r="C25" s="130"/>
      <c r="D25" s="130"/>
      <c r="E25" s="130"/>
      <c r="F25" s="210"/>
    </row>
    <row r="26" spans="2:6" ht="20.100000000000001" customHeight="1">
      <c r="B26" s="235" t="s">
        <v>286</v>
      </c>
      <c r="C26" s="236"/>
      <c r="D26" s="236"/>
      <c r="E26" s="236"/>
      <c r="F26" s="211" t="s">
        <v>258</v>
      </c>
    </row>
    <row r="27" spans="2:6" ht="20.100000000000001" customHeight="1" thickBot="1">
      <c r="B27" s="237"/>
      <c r="C27" s="238"/>
      <c r="D27" s="238"/>
      <c r="E27" s="238"/>
      <c r="F27" s="211" t="s">
        <v>259</v>
      </c>
    </row>
    <row r="28" spans="2:6" ht="20.100000000000001" customHeight="1" thickTop="1"/>
  </sheetData>
  <sheetProtection algorithmName="SHA-512" hashValue="eYHSRZClKIJq5oemwWKkC6YnLQwj+SxaXErbyzeZbgczBFf240OAUBSRwc91qEb82ss08FUV/tIygRJ+EK5WeA==" saltValue="1qFZ98FHj3ipTHO2Cs1YJQ==" spinCount="100000" sheet="1" objects="1" scenarios="1"/>
  <mergeCells count="3">
    <mergeCell ref="B2:F2"/>
    <mergeCell ref="B4:F4"/>
    <mergeCell ref="B26:E27"/>
  </mergeCells>
  <hyperlinks>
    <hyperlink ref="B18" location="'1FRB'!A1" tooltip="Calculez-le vous-même !" display="} Cliquez ici" xr:uid="{B37B431F-9584-45B6-B502-3C7A77900938}"/>
    <hyperlink ref="F21" r:id="rId1" tooltip="Contactez la rédaction" xr:uid="{E46004DF-B482-4983-AFC3-73DADE5D15DC}"/>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858A-129B-4F4C-BB84-6F92B886F738}">
  <sheetPr codeName="Blad4">
    <tabColor theme="9" tint="0.79998168889431442"/>
    <pageSetUpPr autoPageBreaks="0" fitToPage="1"/>
  </sheetPr>
  <dimension ref="A1:L41"/>
  <sheetViews>
    <sheetView showGridLines="0" showRowColHeaders="0" zoomScaleNormal="100" workbookViewId="0">
      <selection activeCell="B3" sqref="B3"/>
    </sheetView>
  </sheetViews>
  <sheetFormatPr defaultColWidth="9.125" defaultRowHeight="15.9" customHeight="1"/>
  <cols>
    <col min="1" max="1" width="5.75" style="6" customWidth="1"/>
    <col min="2" max="2" width="30.25" style="6" customWidth="1"/>
    <col min="3" max="3" width="18.75" style="6" customWidth="1"/>
    <col min="4" max="4" width="21.375" style="6" customWidth="1"/>
    <col min="5" max="5" width="18.125" style="6" customWidth="1"/>
    <col min="6" max="7" width="21.625" style="6" customWidth="1"/>
    <col min="8" max="8" width="5.75" style="6" customWidth="1"/>
    <col min="9" max="27" width="5.75" style="7" customWidth="1"/>
    <col min="28" max="16384" width="9.125" style="7"/>
  </cols>
  <sheetData>
    <row r="1" spans="2:12" ht="15.9" customHeight="1" thickBot="1"/>
    <row r="2" spans="2:12" ht="30" customHeight="1" thickBot="1">
      <c r="B2" s="262" t="s">
        <v>277</v>
      </c>
      <c r="C2" s="262"/>
      <c r="D2" s="262"/>
      <c r="E2" s="262"/>
      <c r="F2" s="262"/>
      <c r="G2" s="262"/>
      <c r="I2" s="1" t="s">
        <v>0</v>
      </c>
      <c r="J2" s="2" t="s">
        <v>1</v>
      </c>
      <c r="K2" s="3" t="s">
        <v>2</v>
      </c>
      <c r="L2" s="3" t="s">
        <v>3</v>
      </c>
    </row>
    <row r="3" spans="2:12" ht="15.9" customHeight="1">
      <c r="G3" s="55"/>
      <c r="I3" s="56"/>
      <c r="J3" s="56"/>
      <c r="K3" s="56"/>
      <c r="L3" s="56"/>
    </row>
    <row r="4" spans="2:12" ht="15.9" customHeight="1">
      <c r="B4" s="163" t="s">
        <v>169</v>
      </c>
      <c r="C4" s="13"/>
      <c r="D4" s="5"/>
      <c r="E4" s="5"/>
      <c r="F4" s="5"/>
      <c r="I4" s="57"/>
      <c r="J4" s="57"/>
      <c r="K4" s="57"/>
      <c r="L4" s="57"/>
    </row>
    <row r="5" spans="2:12" ht="15.9" hidden="1" customHeight="1">
      <c r="B5" s="163"/>
      <c r="C5" s="13"/>
      <c r="D5" s="5"/>
      <c r="E5" s="5"/>
      <c r="F5" s="5"/>
      <c r="I5" s="57"/>
      <c r="J5" s="57"/>
      <c r="K5" s="57"/>
      <c r="L5" s="57"/>
    </row>
    <row r="6" spans="2:12" ht="15.9" customHeight="1">
      <c r="B6" s="8" t="s">
        <v>171</v>
      </c>
      <c r="C6" s="8"/>
      <c r="D6" s="5"/>
      <c r="E6" s="5"/>
      <c r="F6" s="5"/>
      <c r="I6" s="57"/>
      <c r="J6" s="57"/>
      <c r="K6" s="57"/>
      <c r="L6" s="57"/>
    </row>
    <row r="7" spans="2:12" ht="15.9" customHeight="1">
      <c r="B7" s="4"/>
      <c r="C7" s="4"/>
      <c r="D7" s="5"/>
      <c r="E7" s="5"/>
      <c r="F7" s="5"/>
      <c r="I7" s="57"/>
      <c r="J7" s="57"/>
      <c r="K7" s="57"/>
      <c r="L7" s="57"/>
    </row>
    <row r="8" spans="2:12" ht="15.9" customHeight="1">
      <c r="B8" s="8" t="s">
        <v>227</v>
      </c>
      <c r="C8" s="8"/>
      <c r="D8" s="5"/>
      <c r="E8" s="5"/>
      <c r="F8" s="5"/>
      <c r="G8" s="175"/>
      <c r="I8" s="57"/>
      <c r="J8" s="57"/>
      <c r="K8" s="57"/>
      <c r="L8" s="57"/>
    </row>
    <row r="9" spans="2:12" ht="15.9" customHeight="1">
      <c r="B9" s="8" t="s">
        <v>235</v>
      </c>
      <c r="C9" s="8"/>
      <c r="D9" s="21"/>
      <c r="E9" s="21"/>
      <c r="F9" s="21"/>
      <c r="G9" s="175">
        <v>0</v>
      </c>
      <c r="I9" s="74" t="s">
        <v>1</v>
      </c>
      <c r="J9" s="57"/>
      <c r="K9" s="57"/>
      <c r="L9" s="57"/>
    </row>
    <row r="10" spans="2:12" ht="15.9" customHeight="1">
      <c r="B10" s="8" t="s">
        <v>172</v>
      </c>
      <c r="C10" s="8"/>
      <c r="D10" s="8"/>
      <c r="E10" s="8"/>
      <c r="F10" s="8"/>
      <c r="G10" s="164">
        <v>0</v>
      </c>
      <c r="I10" s="74" t="s">
        <v>1</v>
      </c>
      <c r="J10" s="57"/>
      <c r="K10" s="57"/>
      <c r="L10" s="57"/>
    </row>
    <row r="11" spans="2:12" ht="15.9" customHeight="1">
      <c r="B11" s="8" t="s">
        <v>251</v>
      </c>
      <c r="C11" s="8"/>
      <c r="D11" s="8"/>
      <c r="E11" s="8"/>
      <c r="F11" s="8"/>
      <c r="G11" s="176">
        <v>36526</v>
      </c>
      <c r="I11" s="57"/>
      <c r="J11" s="57"/>
      <c r="K11" s="57"/>
      <c r="L11" s="57"/>
    </row>
    <row r="12" spans="2:12" ht="15.9" customHeight="1">
      <c r="B12" s="8" t="s">
        <v>228</v>
      </c>
      <c r="C12" s="8"/>
      <c r="D12" s="8"/>
      <c r="E12" s="8"/>
      <c r="F12" s="8"/>
      <c r="G12" s="176">
        <v>36526</v>
      </c>
      <c r="I12" s="57"/>
      <c r="J12" s="57"/>
      <c r="K12" s="57"/>
      <c r="L12" s="57"/>
    </row>
    <row r="13" spans="2:12" ht="15.9" customHeight="1">
      <c r="B13" s="8" t="s">
        <v>229</v>
      </c>
      <c r="C13" s="8"/>
      <c r="D13" s="8"/>
      <c r="E13" s="8"/>
      <c r="F13" s="8"/>
      <c r="G13" s="176"/>
      <c r="I13" s="57"/>
      <c r="J13" s="57"/>
      <c r="K13" s="57"/>
      <c r="L13" s="57"/>
    </row>
    <row r="14" spans="2:12" ht="15.9" customHeight="1">
      <c r="B14" s="8" t="s">
        <v>245</v>
      </c>
      <c r="C14" s="8"/>
      <c r="D14" s="8"/>
      <c r="E14" s="8"/>
      <c r="F14" s="8"/>
      <c r="G14" s="164"/>
      <c r="I14" s="57"/>
      <c r="J14" s="57"/>
      <c r="K14" s="57"/>
      <c r="L14" s="57"/>
    </row>
    <row r="15" spans="2:12" ht="15.9" customHeight="1">
      <c r="B15" s="8"/>
      <c r="C15" s="8"/>
      <c r="D15" s="7"/>
      <c r="E15" s="7"/>
      <c r="F15" s="7"/>
      <c r="G15" s="8"/>
      <c r="I15" s="57"/>
      <c r="J15" s="57"/>
      <c r="K15" s="57"/>
      <c r="L15" s="57"/>
    </row>
    <row r="16" spans="2:12" ht="15.9" customHeight="1">
      <c r="B16" s="163" t="s">
        <v>173</v>
      </c>
      <c r="C16" s="13"/>
      <c r="D16" s="54"/>
      <c r="E16" s="54"/>
      <c r="F16" s="54"/>
      <c r="G16" s="54"/>
      <c r="I16" s="57"/>
      <c r="J16" s="57"/>
      <c r="K16" s="57"/>
      <c r="L16" s="57"/>
    </row>
    <row r="17" spans="2:12" ht="15.9" customHeight="1">
      <c r="B17" s="8" t="s">
        <v>230</v>
      </c>
      <c r="C17" s="8"/>
      <c r="D17" s="54"/>
      <c r="E17" s="54"/>
      <c r="F17" s="54"/>
      <c r="G17" s="65">
        <f>+calcFRB!P23</f>
        <v>0.04</v>
      </c>
      <c r="I17" s="58"/>
      <c r="J17" s="59" t="b">
        <v>0</v>
      </c>
      <c r="K17" s="58"/>
      <c r="L17" s="58"/>
    </row>
    <row r="18" spans="2:12" ht="15.9" customHeight="1">
      <c r="B18" s="8" t="s">
        <v>246</v>
      </c>
      <c r="C18" s="8"/>
      <c r="D18" s="54"/>
      <c r="E18" s="54"/>
      <c r="F18" s="54"/>
      <c r="G18" s="81">
        <f>MAX(calcFRB!N23,+G10*G17*0.857142857142857)</f>
        <v>1690</v>
      </c>
      <c r="I18" s="59" t="b">
        <v>1</v>
      </c>
      <c r="J18" s="60"/>
      <c r="K18" s="58"/>
      <c r="L18" s="58"/>
    </row>
    <row r="19" spans="2:12" ht="15.9" customHeight="1">
      <c r="B19" s="8"/>
      <c r="C19" s="8"/>
      <c r="D19" s="79"/>
      <c r="E19" s="79"/>
      <c r="F19" s="79"/>
      <c r="G19" s="166" t="str">
        <f>IF(G18=calcFRB!N23,"Le minimum est applicable","")</f>
        <v>Le minimum est applicable</v>
      </c>
      <c r="I19" s="62"/>
      <c r="J19" s="60"/>
      <c r="K19" s="58"/>
      <c r="L19" s="58"/>
    </row>
    <row r="20" spans="2:12" ht="15.9" customHeight="1">
      <c r="B20" s="163" t="s">
        <v>174</v>
      </c>
      <c r="C20" s="13"/>
      <c r="D20" s="7"/>
      <c r="E20" s="7"/>
      <c r="F20" s="7"/>
      <c r="G20" s="7"/>
      <c r="I20" s="62"/>
      <c r="J20" s="60"/>
      <c r="K20" s="58"/>
      <c r="L20" s="58"/>
    </row>
    <row r="21" spans="2:12" ht="15.9" customHeight="1">
      <c r="B21" s="67" t="s">
        <v>175</v>
      </c>
      <c r="C21" s="67" t="s">
        <v>176</v>
      </c>
      <c r="D21" s="67" t="s">
        <v>177</v>
      </c>
      <c r="E21" s="67" t="s">
        <v>243</v>
      </c>
      <c r="F21" s="67" t="s">
        <v>244</v>
      </c>
      <c r="G21" s="67" t="s">
        <v>178</v>
      </c>
      <c r="I21" s="62"/>
      <c r="J21" s="60"/>
      <c r="K21" s="58"/>
      <c r="L21" s="58"/>
    </row>
    <row r="22" spans="2:12" ht="15.9" customHeight="1">
      <c r="B22" s="68" t="s">
        <v>179</v>
      </c>
      <c r="C22" s="69">
        <f>+calcFRB!G31</f>
        <v>31</v>
      </c>
      <c r="D22" s="70">
        <f>IF(C22=0,"",+calcFRB!M31)</f>
        <v>0.7</v>
      </c>
      <c r="E22" s="82">
        <f>+G22+F22</f>
        <v>143.53424657534245</v>
      </c>
      <c r="F22" s="82">
        <f>+calcFRB!N31</f>
        <v>0</v>
      </c>
      <c r="G22" s="82">
        <f>+calcFRB!O31</f>
        <v>143.53424657534245</v>
      </c>
      <c r="I22" s="62"/>
      <c r="J22" s="60"/>
      <c r="K22" s="58"/>
      <c r="L22" s="58"/>
    </row>
    <row r="23" spans="2:12" ht="15.9" customHeight="1">
      <c r="B23" s="68" t="s">
        <v>180</v>
      </c>
      <c r="C23" s="69">
        <f>+calcFRB!G32</f>
        <v>28</v>
      </c>
      <c r="D23" s="70">
        <f>IF(C23=0,"",+calcFRB!M32)</f>
        <v>0.7</v>
      </c>
      <c r="E23" s="82">
        <f t="shared" ref="E23:E33" si="0">+G23+F23</f>
        <v>129.64383561643837</v>
      </c>
      <c r="F23" s="82">
        <f>+calcFRB!N32</f>
        <v>0</v>
      </c>
      <c r="G23" s="82">
        <f>+calcFRB!O32</f>
        <v>129.64383561643837</v>
      </c>
      <c r="I23" s="62"/>
      <c r="J23" s="60"/>
      <c r="K23" s="58"/>
      <c r="L23" s="58"/>
    </row>
    <row r="24" spans="2:12" ht="15.9" customHeight="1">
      <c r="B24" s="68" t="s">
        <v>181</v>
      </c>
      <c r="C24" s="69">
        <f>+calcFRB!G33</f>
        <v>31</v>
      </c>
      <c r="D24" s="70">
        <f>IF(C24=0,"",+calcFRB!M33)</f>
        <v>0.7</v>
      </c>
      <c r="E24" s="82">
        <f t="shared" si="0"/>
        <v>143.53424657534245</v>
      </c>
      <c r="F24" s="82">
        <f>+calcFRB!N33</f>
        <v>0</v>
      </c>
      <c r="G24" s="82">
        <f>+calcFRB!O33</f>
        <v>143.53424657534245</v>
      </c>
      <c r="I24" s="62"/>
      <c r="J24" s="62"/>
      <c r="K24" s="58"/>
      <c r="L24" s="58"/>
    </row>
    <row r="25" spans="2:12" ht="15.9" customHeight="1">
      <c r="B25" s="68" t="s">
        <v>182</v>
      </c>
      <c r="C25" s="69">
        <f>+calcFRB!G34</f>
        <v>30</v>
      </c>
      <c r="D25" s="70">
        <f>IF(C25=0,"",+calcFRB!M34)</f>
        <v>0.7</v>
      </c>
      <c r="E25" s="82">
        <f t="shared" si="0"/>
        <v>138.9041095890411</v>
      </c>
      <c r="F25" s="82">
        <f>+calcFRB!N34</f>
        <v>0</v>
      </c>
      <c r="G25" s="82">
        <f>+calcFRB!O34</f>
        <v>138.9041095890411</v>
      </c>
      <c r="H25" s="8"/>
      <c r="I25" s="62"/>
      <c r="J25" s="62"/>
      <c r="K25" s="58"/>
      <c r="L25" s="58"/>
    </row>
    <row r="26" spans="2:12" ht="15.9" customHeight="1">
      <c r="B26" s="68" t="s">
        <v>231</v>
      </c>
      <c r="C26" s="69">
        <f>+calcFRB!G35</f>
        <v>31</v>
      </c>
      <c r="D26" s="70">
        <f>IF(C26=0,"",+calcFRB!M35)</f>
        <v>0.7</v>
      </c>
      <c r="E26" s="82">
        <f t="shared" si="0"/>
        <v>143.53424657534245</v>
      </c>
      <c r="F26" s="82">
        <f>+calcFRB!N35</f>
        <v>0</v>
      </c>
      <c r="G26" s="82">
        <f>+calcFRB!O35</f>
        <v>143.53424657534245</v>
      </c>
      <c r="H26" s="8"/>
      <c r="I26" s="62"/>
      <c r="J26" s="62"/>
      <c r="K26" s="58"/>
      <c r="L26" s="58"/>
    </row>
    <row r="27" spans="2:12" ht="15.9" customHeight="1">
      <c r="B27" s="68" t="s">
        <v>183</v>
      </c>
      <c r="C27" s="69">
        <f>+calcFRB!G36</f>
        <v>30</v>
      </c>
      <c r="D27" s="70">
        <f>IF(C27=0,"",+calcFRB!M36)</f>
        <v>0.7</v>
      </c>
      <c r="E27" s="82">
        <f t="shared" si="0"/>
        <v>138.9041095890411</v>
      </c>
      <c r="F27" s="82">
        <f>+calcFRB!N36</f>
        <v>0</v>
      </c>
      <c r="G27" s="82">
        <f>+calcFRB!O36</f>
        <v>138.9041095890411</v>
      </c>
      <c r="H27" s="8"/>
      <c r="I27" s="62"/>
      <c r="J27" s="62"/>
      <c r="K27" s="58"/>
      <c r="L27" s="58"/>
    </row>
    <row r="28" spans="2:12" ht="15.9" customHeight="1">
      <c r="B28" s="68" t="s">
        <v>184</v>
      </c>
      <c r="C28" s="69">
        <f>+calcFRB!G37</f>
        <v>31</v>
      </c>
      <c r="D28" s="70">
        <f>IF(C28=0,"",+calcFRB!M37)</f>
        <v>0.7</v>
      </c>
      <c r="E28" s="82">
        <f t="shared" si="0"/>
        <v>143.53424657534245</v>
      </c>
      <c r="F28" s="82">
        <f>+calcFRB!N37</f>
        <v>0</v>
      </c>
      <c r="G28" s="82">
        <f>+calcFRB!O37</f>
        <v>143.53424657534245</v>
      </c>
      <c r="H28" s="8"/>
      <c r="I28" s="62"/>
      <c r="J28" s="62"/>
      <c r="K28" s="58"/>
      <c r="L28" s="58"/>
    </row>
    <row r="29" spans="2:12" ht="15.9" customHeight="1">
      <c r="B29" s="68" t="s">
        <v>185</v>
      </c>
      <c r="C29" s="69">
        <f>+calcFRB!G38</f>
        <v>31</v>
      </c>
      <c r="D29" s="70">
        <f>IF(C29=0,"",+calcFRB!M38)</f>
        <v>0.7</v>
      </c>
      <c r="E29" s="82">
        <f t="shared" si="0"/>
        <v>143.53424657534245</v>
      </c>
      <c r="F29" s="82">
        <f>+calcFRB!N38</f>
        <v>0</v>
      </c>
      <c r="G29" s="82">
        <f>+calcFRB!O38</f>
        <v>143.53424657534245</v>
      </c>
      <c r="I29" s="63"/>
      <c r="J29" s="63"/>
      <c r="K29" s="58"/>
      <c r="L29" s="58"/>
    </row>
    <row r="30" spans="2:12" ht="15.9" customHeight="1">
      <c r="B30" s="68" t="s">
        <v>186</v>
      </c>
      <c r="C30" s="69">
        <f>+calcFRB!G39</f>
        <v>30</v>
      </c>
      <c r="D30" s="70">
        <f>IF(C30=0,"",+calcFRB!M39)</f>
        <v>0.7</v>
      </c>
      <c r="E30" s="82">
        <f t="shared" si="0"/>
        <v>138.9041095890411</v>
      </c>
      <c r="F30" s="82">
        <f>+calcFRB!N39</f>
        <v>0</v>
      </c>
      <c r="G30" s="82">
        <f>+calcFRB!O39</f>
        <v>138.9041095890411</v>
      </c>
      <c r="I30" s="63"/>
      <c r="J30" s="63"/>
      <c r="K30" s="58"/>
      <c r="L30" s="58"/>
    </row>
    <row r="31" spans="2:12" ht="15.9" customHeight="1">
      <c r="B31" s="68" t="s">
        <v>187</v>
      </c>
      <c r="C31" s="69">
        <f>+calcFRB!G40</f>
        <v>31</v>
      </c>
      <c r="D31" s="70">
        <f>IF(C31=0,"",+calcFRB!M40)</f>
        <v>0.7</v>
      </c>
      <c r="E31" s="82">
        <f t="shared" si="0"/>
        <v>143.53424657534245</v>
      </c>
      <c r="F31" s="82">
        <f>+calcFRB!N40</f>
        <v>0</v>
      </c>
      <c r="G31" s="82">
        <f>+calcFRB!O40</f>
        <v>143.53424657534245</v>
      </c>
      <c r="I31" s="63"/>
      <c r="J31" s="63"/>
      <c r="K31" s="58"/>
      <c r="L31" s="58"/>
    </row>
    <row r="32" spans="2:12" ht="15.9" customHeight="1">
      <c r="B32" s="68" t="s">
        <v>188</v>
      </c>
      <c r="C32" s="69">
        <f>+calcFRB!G41</f>
        <v>30</v>
      </c>
      <c r="D32" s="70">
        <f>IF(C32=0,"",+calcFRB!M41)</f>
        <v>0.7</v>
      </c>
      <c r="E32" s="82">
        <f t="shared" si="0"/>
        <v>138.9041095890411</v>
      </c>
      <c r="F32" s="82">
        <f>+calcFRB!N41</f>
        <v>0</v>
      </c>
      <c r="G32" s="82">
        <f>+calcFRB!O41</f>
        <v>138.9041095890411</v>
      </c>
      <c r="I32" s="63"/>
      <c r="J32" s="63"/>
      <c r="K32" s="58"/>
      <c r="L32" s="58"/>
    </row>
    <row r="33" spans="1:12" ht="15.9" customHeight="1">
      <c r="B33" s="68" t="s">
        <v>189</v>
      </c>
      <c r="C33" s="69">
        <f>+calcFRB!G42</f>
        <v>31</v>
      </c>
      <c r="D33" s="70">
        <f>IF(C33=0,"",+calcFRB!M42)</f>
        <v>0.7</v>
      </c>
      <c r="E33" s="82">
        <f t="shared" si="0"/>
        <v>143.53424657534245</v>
      </c>
      <c r="F33" s="82">
        <f>+calcFRB!N42</f>
        <v>0</v>
      </c>
      <c r="G33" s="82">
        <f>+calcFRB!O42</f>
        <v>143.53424657534245</v>
      </c>
      <c r="I33" s="58"/>
      <c r="J33" s="58"/>
      <c r="K33" s="58"/>
      <c r="L33" s="58"/>
    </row>
    <row r="34" spans="1:12" ht="15.9" customHeight="1">
      <c r="B34" s="71" t="s">
        <v>190</v>
      </c>
      <c r="C34" s="72">
        <f>SUM(C22:C33)</f>
        <v>365</v>
      </c>
      <c r="D34" s="73"/>
      <c r="E34" s="83">
        <f t="shared" ref="E34:F34" si="1">SUM(E22:E33)</f>
        <v>1690</v>
      </c>
      <c r="F34" s="83">
        <f t="shared" si="1"/>
        <v>0</v>
      </c>
      <c r="G34" s="83">
        <f>SUM(G22:G33)</f>
        <v>1690</v>
      </c>
      <c r="I34" s="58"/>
      <c r="J34" s="58"/>
      <c r="K34" s="58"/>
      <c r="L34" s="58"/>
    </row>
    <row r="35" spans="1:12" ht="15.9" customHeight="1">
      <c r="B35" s="8"/>
      <c r="C35" s="8"/>
      <c r="D35" s="12"/>
      <c r="E35" s="12"/>
      <c r="F35" s="12"/>
      <c r="G35" s="12"/>
      <c r="I35" s="58"/>
      <c r="J35" s="58"/>
      <c r="K35" s="58"/>
      <c r="L35" s="58"/>
    </row>
    <row r="36" spans="1:12" ht="15.9" customHeight="1">
      <c r="B36" s="163" t="s">
        <v>191</v>
      </c>
      <c r="C36" s="13"/>
      <c r="D36" s="8"/>
      <c r="E36" s="8"/>
      <c r="F36" s="8"/>
      <c r="G36" s="9">
        <f>+calcFRB!E23</f>
        <v>2026</v>
      </c>
      <c r="I36" s="58"/>
      <c r="J36" s="58"/>
      <c r="K36" s="58"/>
      <c r="L36" s="58"/>
    </row>
    <row r="37" spans="1:12" ht="15.9" customHeight="1">
      <c r="B37" s="8" t="s">
        <v>232</v>
      </c>
      <c r="C37" s="8"/>
      <c r="G37" s="160">
        <f>+G34</f>
        <v>1690</v>
      </c>
      <c r="I37" s="58"/>
      <c r="J37" s="58"/>
      <c r="K37" s="58"/>
      <c r="L37" s="58"/>
    </row>
    <row r="38" spans="1:12" ht="15.9" customHeight="1">
      <c r="B38" s="8" t="s">
        <v>233</v>
      </c>
      <c r="C38" s="8"/>
      <c r="D38" s="8"/>
      <c r="E38" s="8"/>
      <c r="F38" s="161" t="str">
        <f>"(sur "&amp;TEXT($E$34,"#.###,00")&amp;")"</f>
        <v>(sur 1.690,00)</v>
      </c>
      <c r="G38" s="160">
        <f>+E34*0.4</f>
        <v>676</v>
      </c>
      <c r="I38" s="58"/>
      <c r="J38" s="58"/>
      <c r="K38" s="58"/>
      <c r="L38" s="58"/>
    </row>
    <row r="39" spans="1:12" ht="15.9" customHeight="1">
      <c r="B39" s="8" t="s">
        <v>234</v>
      </c>
      <c r="C39" s="8"/>
      <c r="D39" s="8"/>
      <c r="E39" s="8"/>
      <c r="F39" s="161" t="str">
        <f>"(sur "&amp;TEXT($E$34,"#.###,00")&amp;")"</f>
        <v>(sur 1.690,00)</v>
      </c>
      <c r="G39" s="160">
        <f>+E34*0.17</f>
        <v>287.3</v>
      </c>
      <c r="I39" s="58"/>
      <c r="J39" s="58"/>
      <c r="K39" s="58"/>
      <c r="L39" s="58"/>
    </row>
    <row r="40" spans="1:12" ht="15.9" customHeight="1">
      <c r="B40" s="8"/>
      <c r="C40" s="8"/>
      <c r="D40" s="8"/>
      <c r="E40" s="8"/>
      <c r="F40" s="8"/>
      <c r="G40" s="8"/>
      <c r="I40" s="58"/>
      <c r="J40" s="58"/>
      <c r="K40" s="58"/>
      <c r="L40" s="58"/>
    </row>
    <row r="41" spans="1:12" ht="15.9" customHeight="1">
      <c r="A41" s="63"/>
      <c r="B41" s="63"/>
      <c r="C41" s="63"/>
      <c r="D41" s="63"/>
      <c r="E41" s="63"/>
      <c r="F41" s="63"/>
      <c r="G41" s="63"/>
      <c r="H41" s="63"/>
      <c r="I41" s="58"/>
      <c r="J41" s="58"/>
      <c r="K41" s="58"/>
      <c r="L41" s="58"/>
    </row>
  </sheetData>
  <sheetProtection algorithmName="SHA-512" hashValue="shPkMzAZ+5bUFAiRdCM/3InNCV4h7dcNnPZS5gXuxSIG8hebrTuboz9abKP9oYmYLfPbY6U+d4gfSZ9r77cRCQ==" saltValue="3681Xv5bgIZQWYaZMHpy3w==" spinCount="100000" sheet="1" objects="1" scenarios="1"/>
  <mergeCells count="1">
    <mergeCell ref="B2:G2"/>
  </mergeCells>
  <hyperlinks>
    <hyperlink ref="I2" location="'Home FR B'!A1" tooltip="Home" display="Ç" xr:uid="{ED2D795F-A0D7-4A21-81C6-D2E7040377B4}"/>
  </hyperlinks>
  <pageMargins left="0.78740157480314965" right="0.78740157480314965" top="0.78740157480314965" bottom="0.78740157480314965" header="0.31496062992125984" footer="0.31496062992125984"/>
  <pageSetup paperSize="9" orientation="portrait" horizontalDpi="300" verticalDpi="3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90" r:id="rId4" name="Drop Down 2">
              <controlPr defaultSize="0" autoFill="0" autoLine="0" autoPict="0">
                <anchor moveWithCells="1" sizeWithCells="1">
                  <from>
                    <xdr:col>6</xdr:col>
                    <xdr:colOff>0</xdr:colOff>
                    <xdr:row>5</xdr:row>
                    <xdr:rowOff>0</xdr:rowOff>
                  </from>
                  <to>
                    <xdr:col>7</xdr:col>
                    <xdr:colOff>30480</xdr:colOff>
                    <xdr:row>6</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43BB0-1A39-4EC4-8A44-C4CF7286A94F}">
  <sheetPr codeName="Sheet11">
    <tabColor theme="9" tint="0.79998168889431442"/>
  </sheetPr>
  <dimension ref="A1:AD44"/>
  <sheetViews>
    <sheetView showGridLines="0" showRowColHeaders="0" workbookViewId="0">
      <selection activeCell="E24" sqref="E24:N27"/>
    </sheetView>
  </sheetViews>
  <sheetFormatPr defaultColWidth="9.125" defaultRowHeight="12"/>
  <cols>
    <col min="1" max="1" width="9.125" style="25"/>
    <col min="2" max="2" width="3.875" style="32" customWidth="1"/>
    <col min="3" max="3" width="2.75" style="25" bestFit="1" customWidth="1"/>
    <col min="4" max="4" width="24.75" style="25" bestFit="1" customWidth="1"/>
    <col min="5" max="5" width="11.625" style="25" bestFit="1" customWidth="1"/>
    <col min="6" max="6" width="10" style="25" customWidth="1"/>
    <col min="7" max="7" width="17.25" style="25" bestFit="1" customWidth="1"/>
    <col min="8" max="8" width="11.25" style="25" customWidth="1"/>
    <col min="9" max="9" width="9.625" style="25" bestFit="1" customWidth="1"/>
    <col min="10" max="10" width="11.375" style="25" customWidth="1"/>
    <col min="11" max="11" width="7.625" style="25" bestFit="1" customWidth="1"/>
    <col min="12" max="13" width="9" style="25" customWidth="1"/>
    <col min="14" max="14" width="15.625" style="25" bestFit="1" customWidth="1"/>
    <col min="15" max="15" width="8" style="25" customWidth="1"/>
    <col min="16" max="16" width="7.625" style="25" bestFit="1" customWidth="1"/>
    <col min="17" max="20" width="9" style="25" bestFit="1" customWidth="1"/>
    <col min="21" max="21" width="5.625" style="25" bestFit="1" customWidth="1"/>
    <col min="22" max="22" width="6.125" style="25" bestFit="1" customWidth="1"/>
    <col min="23" max="23" width="6" style="25" bestFit="1" customWidth="1"/>
    <col min="24" max="24" width="11.625" style="25" bestFit="1" customWidth="1"/>
    <col min="25" max="25" width="7.125" style="25" bestFit="1" customWidth="1"/>
    <col min="26" max="26" width="7.625" style="25" bestFit="1" customWidth="1"/>
    <col min="27" max="27" width="11.25" style="25" bestFit="1" customWidth="1"/>
    <col min="28" max="28" width="7.125" style="25" bestFit="1" customWidth="1"/>
    <col min="29" max="29" width="7.625" style="25" bestFit="1" customWidth="1"/>
    <col min="30" max="30" width="10.375" style="25" bestFit="1" customWidth="1"/>
    <col min="31" max="31" width="1.875" style="25" bestFit="1" customWidth="1"/>
    <col min="32" max="16384" width="9.125" style="25"/>
  </cols>
  <sheetData>
    <row r="1" spans="1:8">
      <c r="A1" s="169" t="str" cm="1">
        <f t="array" aca="1" ref="A1:E1" ca="1">IF(TODAY()&gt;DTM+365,"Cet outil de calcul est peut-être obsolète. Téléchargez la version la plus récente",'Home FR B'!B4:F4)</f>
        <v>Avantage de toute nature voiture 2026</v>
      </c>
      <c r="B1" s="32">
        <f ca="1"/>
        <v>0</v>
      </c>
      <c r="C1" s="25">
        <f ca="1"/>
        <v>0</v>
      </c>
      <c r="D1" s="25">
        <f ca="1"/>
        <v>0</v>
      </c>
      <c r="E1" s="25">
        <f ca="1"/>
        <v>0</v>
      </c>
    </row>
    <row r="3" spans="1:8">
      <c r="D3" s="25" t="s">
        <v>53</v>
      </c>
      <c r="E3" s="25">
        <f>+E23</f>
        <v>2026</v>
      </c>
      <c r="G3" s="181">
        <f>IF(YEAR('1FRB'!G11)=E3,'1FRB'!G11,EOMONTH('1FRB'!G11,-1)+1)</f>
        <v>36526</v>
      </c>
      <c r="H3" s="31">
        <f>DATE(E3+1,1,1)</f>
        <v>46388</v>
      </c>
    </row>
    <row r="4" spans="1:8">
      <c r="D4" s="178" t="s">
        <v>54</v>
      </c>
      <c r="E4" s="179">
        <f>+'1FRB'!G12</f>
        <v>36526</v>
      </c>
      <c r="G4" s="31"/>
      <c r="H4" s="31"/>
    </row>
    <row r="5" spans="1:8">
      <c r="D5" s="178" t="s">
        <v>250</v>
      </c>
      <c r="E5" s="179">
        <f>DATE(G5,G6,G7)</f>
        <v>36526</v>
      </c>
      <c r="G5" s="178">
        <f>YEAR(G3)</f>
        <v>2000</v>
      </c>
    </row>
    <row r="6" spans="1:8">
      <c r="D6" s="25" t="s">
        <v>55</v>
      </c>
      <c r="E6" s="25">
        <f>+'1FRB'!G9</f>
        <v>0</v>
      </c>
      <c r="G6" s="178">
        <f>MONTH(G3)</f>
        <v>1</v>
      </c>
    </row>
    <row r="7" spans="1:8">
      <c r="D7" s="25" t="s">
        <v>56</v>
      </c>
      <c r="E7" s="25">
        <f>+'1FRB'!G10</f>
        <v>0</v>
      </c>
      <c r="G7" s="180">
        <f>DAY(G3)</f>
        <v>1</v>
      </c>
    </row>
    <row r="8" spans="1:8">
      <c r="D8" s="25" t="s">
        <v>57</v>
      </c>
      <c r="E8" s="223">
        <f>IF('1FRB'!G13&gt;0,'1FRB'!G13,calcFRB!H3)</f>
        <v>46388</v>
      </c>
    </row>
    <row r="10" spans="1:8">
      <c r="B10" s="177">
        <v>7</v>
      </c>
      <c r="C10" s="26">
        <v>1</v>
      </c>
      <c r="D10" s="27" t="s">
        <v>4</v>
      </c>
    </row>
    <row r="11" spans="1:8">
      <c r="C11" s="26">
        <v>2</v>
      </c>
      <c r="D11" s="27" t="s">
        <v>41</v>
      </c>
    </row>
    <row r="12" spans="1:8">
      <c r="C12" s="26">
        <v>3</v>
      </c>
      <c r="D12" s="27" t="s">
        <v>42</v>
      </c>
    </row>
    <row r="13" spans="1:8">
      <c r="C13" s="26">
        <v>4</v>
      </c>
      <c r="D13" s="27" t="s">
        <v>192</v>
      </c>
    </row>
    <row r="14" spans="1:8" ht="12" customHeight="1">
      <c r="C14" s="26">
        <v>5</v>
      </c>
      <c r="D14" s="27" t="s">
        <v>193</v>
      </c>
    </row>
    <row r="15" spans="1:8">
      <c r="C15" s="26">
        <v>6</v>
      </c>
      <c r="D15" s="27" t="s">
        <v>194</v>
      </c>
    </row>
    <row r="16" spans="1:8">
      <c r="C16" s="26">
        <v>7</v>
      </c>
      <c r="D16" s="27" t="s">
        <v>195</v>
      </c>
    </row>
    <row r="17" spans="2:30">
      <c r="C17" s="26">
        <v>8</v>
      </c>
      <c r="D17" s="27" t="s">
        <v>23</v>
      </c>
    </row>
    <row r="18" spans="2:30">
      <c r="C18" s="26">
        <v>9</v>
      </c>
      <c r="D18" s="27" t="s">
        <v>196</v>
      </c>
    </row>
    <row r="19" spans="2:30">
      <c r="C19" s="26">
        <v>10</v>
      </c>
      <c r="D19" s="27" t="s">
        <v>197</v>
      </c>
    </row>
    <row r="21" spans="2:30">
      <c r="J21" s="30" t="s">
        <v>25</v>
      </c>
      <c r="K21" s="30" t="s">
        <v>24</v>
      </c>
      <c r="L21" s="30" t="s">
        <v>25</v>
      </c>
      <c r="M21" s="30" t="s">
        <v>24</v>
      </c>
    </row>
    <row r="22" spans="2:30" ht="14.4">
      <c r="B22" s="177">
        <v>1</v>
      </c>
      <c r="D22" s="25" t="s">
        <v>66</v>
      </c>
      <c r="E22" s="26" t="s">
        <v>27</v>
      </c>
      <c r="F22" s="26" t="s">
        <v>47</v>
      </c>
      <c r="G22" s="26" t="s">
        <v>28</v>
      </c>
      <c r="H22" s="26" t="s">
        <v>38</v>
      </c>
      <c r="I22" s="26" t="s">
        <v>39</v>
      </c>
      <c r="J22" s="257" t="s">
        <v>31</v>
      </c>
      <c r="K22" s="257"/>
      <c r="L22" s="257" t="s">
        <v>79</v>
      </c>
      <c r="M22" s="257"/>
      <c r="N22" s="26" t="s">
        <v>40</v>
      </c>
      <c r="O22" s="26" t="s">
        <v>32</v>
      </c>
      <c r="P22" s="26" t="s">
        <v>72</v>
      </c>
      <c r="Q22" s="25" t="s">
        <v>60</v>
      </c>
      <c r="R22" s="25" t="s">
        <v>51</v>
      </c>
      <c r="S22" s="25" t="s">
        <v>61</v>
      </c>
      <c r="T22" s="25" t="s">
        <v>62</v>
      </c>
      <c r="U22" s="25" t="s">
        <v>52</v>
      </c>
      <c r="V22" s="25" t="s">
        <v>49</v>
      </c>
      <c r="W22" s="25" t="s">
        <v>63</v>
      </c>
      <c r="X22" s="25" t="s">
        <v>64</v>
      </c>
      <c r="Y22" s="25" t="s">
        <v>65</v>
      </c>
      <c r="Z22" s="25" t="s">
        <v>58</v>
      </c>
      <c r="AA22" s="25" t="s">
        <v>48</v>
      </c>
      <c r="AB22" s="25" t="s">
        <v>59</v>
      </c>
      <c r="AC22" s="25" t="s">
        <v>58</v>
      </c>
      <c r="AD22" s="25" t="s">
        <v>48</v>
      </c>
    </row>
    <row r="23" spans="2:30">
      <c r="D23" s="52" cm="1">
        <f t="array" ref="D23">INDEX(D24:D27,$B$22)</f>
        <v>1183</v>
      </c>
      <c r="E23" s="40" cm="1">
        <f t="array" ref="E23">INDEX(E24:E27,$B$22)</f>
        <v>2026</v>
      </c>
      <c r="F23" s="41" cm="1">
        <f t="array" ref="F23">INDEX(F24:F27,$B$22)</f>
        <v>5.5E-2</v>
      </c>
      <c r="G23" s="42" cm="1">
        <f t="array" ref="G23">INDEX(G24:G27,$B$22)</f>
        <v>1E-3</v>
      </c>
      <c r="H23" s="43" cm="1">
        <f t="array" ref="H23">INDEX(H24:H27,$B$22)</f>
        <v>0.04</v>
      </c>
      <c r="I23" s="43" cm="1">
        <f t="array" ref="I23">INDEX(I24:I27,$B$22)</f>
        <v>0.18</v>
      </c>
      <c r="J23" s="40" cm="1">
        <f t="array" ref="J23">INDEX(J24:J27,$B$22)</f>
        <v>70</v>
      </c>
      <c r="K23" s="40" cm="1">
        <f t="array" ref="K23">INDEX(K24:K27,$B$22)</f>
        <v>58</v>
      </c>
      <c r="L23" s="40" cm="1">
        <f t="array" ref="L23">INDEX(L24:L27,$B$22)</f>
        <v>205</v>
      </c>
      <c r="M23" s="40" cm="1">
        <f t="array" ref="M23">INDEX(M24:M27,$B$22)</f>
        <v>195</v>
      </c>
      <c r="N23" s="44" cm="1">
        <f t="array" ref="N23">INDEX(N24:N27,$B$22)</f>
        <v>1690</v>
      </c>
      <c r="O23" s="44" cm="1">
        <f t="array" ref="O23">INDEX(O24:O27,$B$22)</f>
        <v>1690</v>
      </c>
      <c r="P23" s="42" cm="1">
        <f t="array" ref="P23">INDEX(P24:P27,$B$22)</f>
        <v>0.04</v>
      </c>
      <c r="Q23" s="45" cm="1">
        <f t="array" ref="Q23">INDEX(Q24:Q27,$B$22)</f>
        <v>1690</v>
      </c>
      <c r="R23" s="46" cm="1">
        <f t="array" ref="R23">INDEX(R24:R27,$B$22)</f>
        <v>46023</v>
      </c>
      <c r="S23" s="46" cm="1">
        <f t="array" ref="S23">INDEX(S24:S27,$B$22)</f>
        <v>46023</v>
      </c>
      <c r="T23" s="46" cm="1">
        <f t="array" ref="T23">INDEX(T24:T27,$B$22)</f>
        <v>46387</v>
      </c>
      <c r="U23" s="47" cm="1">
        <f t="array" ref="U23">INDEX(U24:U27,$B$22)</f>
        <v>365</v>
      </c>
      <c r="V23" s="48" cm="1">
        <f t="array" ref="V23">INDEX(V24:V27,$B$22)</f>
        <v>365</v>
      </c>
      <c r="W23" s="47" cm="1">
        <f t="array" ref="W23">INDEX(W24:W27,$B$22)</f>
        <v>0</v>
      </c>
      <c r="X23" s="49" cm="1">
        <f t="array" ref="X23">INDEX(X24:X27,$B$22)</f>
        <v>365</v>
      </c>
      <c r="Y23" s="50" cm="1">
        <f t="array" ref="Y23">INDEX(Y24:Y27,$B$22)</f>
        <v>25</v>
      </c>
      <c r="Z23" s="51" cm="1">
        <f t="array" ref="Z23">INDEX(Z24:Z27,$B$22)</f>
        <v>0.7</v>
      </c>
      <c r="AA23" s="52" cm="1">
        <f t="array" ref="AA23">INDEX(AA24:AA27,$B$22)</f>
        <v>0</v>
      </c>
      <c r="AB23" s="50" cm="1">
        <f t="array" ref="AB23">INDEX(AB24:AB27,$B$22)</f>
        <v>26</v>
      </c>
      <c r="AC23" s="51" cm="1">
        <f t="array" ref="AC23">INDEX(AC24:AC27,$B$22)</f>
        <v>0.7</v>
      </c>
      <c r="AD23" s="52" cm="1">
        <f t="array" ref="AD23">INDEX(AD24:AD27,$B$22)</f>
        <v>1183</v>
      </c>
    </row>
    <row r="24" spans="2:30">
      <c r="D24" s="39">
        <f>+AD24+AA24</f>
        <v>1183</v>
      </c>
      <c r="E24" s="183">
        <v>2026</v>
      </c>
      <c r="F24" s="76">
        <v>5.5E-2</v>
      </c>
      <c r="G24" s="77">
        <v>1E-3</v>
      </c>
      <c r="H24" s="78">
        <v>0.04</v>
      </c>
      <c r="I24" s="78">
        <v>0.18</v>
      </c>
      <c r="J24" s="183">
        <v>70</v>
      </c>
      <c r="K24" s="183">
        <v>58</v>
      </c>
      <c r="L24" s="75">
        <v>205</v>
      </c>
      <c r="M24" s="75">
        <v>195</v>
      </c>
      <c r="N24" s="184">
        <v>1690</v>
      </c>
      <c r="O24" s="28">
        <f>+N24*V24/U24</f>
        <v>1690</v>
      </c>
      <c r="P24" s="53">
        <f>MIN(I24,MAX(H24,F24+($E$6-IF($B$10&lt;4,K24,J24))*G24))</f>
        <v>0.04</v>
      </c>
      <c r="Q24" s="29">
        <f>MAX(N24,MIN(I24,MAX(H24,F24+($E$6-IF($B$10&lt;4,K24,J24))*G24))*$E$7*6/7)</f>
        <v>1690</v>
      </c>
      <c r="R24" s="31">
        <f>MAX($E$5,DATE(E24,$G$6,$G$7))</f>
        <v>46023</v>
      </c>
      <c r="S24" s="31">
        <f>IF(YEAR($E$4)=E24,$E$4,DATE(E24,1,1))</f>
        <v>46023</v>
      </c>
      <c r="T24" s="31">
        <f>MIN($E$8-1,DATE(E24,12,31))</f>
        <v>46387</v>
      </c>
      <c r="U24" s="37">
        <f>_xlfn.DAYS(DATE(E24,12,31),DATE(E24,1,1))+1</f>
        <v>365</v>
      </c>
      <c r="V24" s="36">
        <f>_xlfn.DAYS(T24,S24)+1</f>
        <v>365</v>
      </c>
      <c r="W24" s="37">
        <f>MAX(0,MIN(V24,_xlfn.DAYS(R24,S24)))</f>
        <v>0</v>
      </c>
      <c r="X24" s="38">
        <f>MAX(0,_xlfn.DAYS(T24,R24)+1)</f>
        <v>365</v>
      </c>
      <c r="Y24" s="25">
        <f>MAX(0,IF(E24&lt;$G$5,0,YEARFRAC(R24,$E$5))-1)</f>
        <v>25</v>
      </c>
      <c r="Z24" s="33">
        <f>MAX(70%,100%-Y24*6%)</f>
        <v>0.7</v>
      </c>
      <c r="AA24" s="39">
        <f>+Q24*W24/U24*Z24</f>
        <v>0</v>
      </c>
      <c r="AB24" s="25">
        <f>IF(E24&lt;$G$5,0,YEARFRAC(R24,$E$5))</f>
        <v>26</v>
      </c>
      <c r="AC24" s="33">
        <f>MAX(70%,100%-AB24*6%)</f>
        <v>0.7</v>
      </c>
      <c r="AD24" s="39">
        <f>+Q24*X24/U24*AC24</f>
        <v>1183</v>
      </c>
    </row>
    <row r="25" spans="2:30">
      <c r="D25" s="39"/>
      <c r="E25" s="183">
        <v>2025</v>
      </c>
      <c r="F25" s="76">
        <v>5.5E-2</v>
      </c>
      <c r="G25" s="77">
        <v>1E-3</v>
      </c>
      <c r="H25" s="78">
        <v>0.04</v>
      </c>
      <c r="I25" s="78">
        <v>0.18</v>
      </c>
      <c r="J25" s="183">
        <v>71</v>
      </c>
      <c r="K25" s="183">
        <v>59</v>
      </c>
      <c r="L25" s="75">
        <v>205</v>
      </c>
      <c r="M25" s="75">
        <v>195</v>
      </c>
      <c r="N25" s="184">
        <v>1650</v>
      </c>
      <c r="O25" s="28"/>
      <c r="P25" s="53"/>
      <c r="Q25" s="29"/>
      <c r="R25" s="31"/>
      <c r="S25" s="31">
        <f>IF(YEAR($E$4)=E25,$E$4,DATE(E25,1,1))</f>
        <v>45658</v>
      </c>
      <c r="T25" s="31"/>
      <c r="U25" s="37"/>
      <c r="V25" s="36"/>
      <c r="W25" s="37"/>
      <c r="X25" s="38"/>
      <c r="Z25" s="33"/>
      <c r="AA25" s="39"/>
      <c r="AC25" s="33"/>
      <c r="AD25" s="39"/>
    </row>
    <row r="26" spans="2:30">
      <c r="D26" s="39"/>
      <c r="E26" s="183">
        <v>2024</v>
      </c>
      <c r="F26" s="76">
        <v>5.5E-2</v>
      </c>
      <c r="G26" s="77">
        <v>1E-3</v>
      </c>
      <c r="H26" s="78">
        <v>0.04</v>
      </c>
      <c r="I26" s="78">
        <v>0.18</v>
      </c>
      <c r="J26" s="183">
        <v>78</v>
      </c>
      <c r="K26" s="183">
        <v>65</v>
      </c>
      <c r="L26" s="75">
        <v>205</v>
      </c>
      <c r="M26" s="75">
        <v>195</v>
      </c>
      <c r="N26" s="184">
        <v>1600</v>
      </c>
      <c r="O26" s="28"/>
      <c r="P26" s="53"/>
      <c r="Q26" s="29"/>
      <c r="R26" s="31"/>
      <c r="S26" s="31">
        <f>IF(YEAR($E$4)=E26,$E$4,DATE(E26,1,1))</f>
        <v>45292</v>
      </c>
      <c r="T26" s="31"/>
      <c r="U26" s="37"/>
      <c r="V26" s="36"/>
      <c r="W26" s="37"/>
      <c r="X26" s="38"/>
      <c r="Z26" s="33"/>
      <c r="AA26" s="39"/>
      <c r="AC26" s="33"/>
      <c r="AD26" s="39"/>
    </row>
    <row r="27" spans="2:30">
      <c r="D27" s="39"/>
      <c r="E27" s="183">
        <v>2023</v>
      </c>
      <c r="F27" s="76">
        <v>5.5E-2</v>
      </c>
      <c r="G27" s="77">
        <v>1E-3</v>
      </c>
      <c r="H27" s="78">
        <v>0.04</v>
      </c>
      <c r="I27" s="78">
        <v>0.18</v>
      </c>
      <c r="J27" s="183">
        <v>82</v>
      </c>
      <c r="K27" s="183">
        <v>67</v>
      </c>
      <c r="L27" s="75">
        <v>205</v>
      </c>
      <c r="M27" s="75">
        <v>195</v>
      </c>
      <c r="N27" s="184">
        <v>1540</v>
      </c>
      <c r="O27" s="28"/>
      <c r="P27" s="53"/>
      <c r="Q27" s="29"/>
      <c r="R27" s="31"/>
      <c r="S27" s="31">
        <f>IF(YEAR($E$4)=E27,$E$4,DATE(E27,1,1))</f>
        <v>44927</v>
      </c>
      <c r="T27" s="31"/>
      <c r="U27" s="37"/>
      <c r="V27" s="36"/>
      <c r="W27" s="37"/>
      <c r="X27" s="38"/>
      <c r="Z27" s="33"/>
      <c r="AA27" s="39"/>
      <c r="AC27" s="33"/>
      <c r="AD27" s="39"/>
    </row>
    <row r="28" spans="2:30">
      <c r="U28" s="36"/>
    </row>
    <row r="30" spans="2:30">
      <c r="E30" s="25" t="s">
        <v>74</v>
      </c>
      <c r="F30" s="25" t="s">
        <v>75</v>
      </c>
      <c r="G30" s="25" t="s">
        <v>49</v>
      </c>
      <c r="H30" s="25" t="s">
        <v>63</v>
      </c>
      <c r="I30" s="25" t="s">
        <v>76</v>
      </c>
      <c r="J30" s="25" t="s">
        <v>77</v>
      </c>
      <c r="K30" s="25" t="s">
        <v>78</v>
      </c>
      <c r="L30" s="25" t="s">
        <v>86</v>
      </c>
      <c r="M30" s="25" t="s">
        <v>50</v>
      </c>
      <c r="N30" s="25" t="s">
        <v>239</v>
      </c>
      <c r="O30" s="25" t="s">
        <v>48</v>
      </c>
    </row>
    <row r="31" spans="2:30">
      <c r="D31" s="25">
        <v>1</v>
      </c>
      <c r="E31" s="179">
        <f t="shared" ref="E31:E42" si="0">MIN($E$8,MAX($E$4,DATE($E$23,D31,1)))</f>
        <v>46023</v>
      </c>
      <c r="F31" s="179">
        <f t="shared" ref="F31:F42" si="1">MAX($E$4-1,MIN($E$8-1,EOMONTH(DATE($E$23,D31,1),0)))</f>
        <v>46053</v>
      </c>
      <c r="G31" s="37">
        <f>MAX(0,_xlfn.DAYS(F31,E31)+1)</f>
        <v>31</v>
      </c>
      <c r="H31" s="66">
        <f t="shared" ref="H31:H42" si="2">MAX(0,_xlfn.DAYS(MIN($R$23-1,F31),E31)+1)</f>
        <v>0</v>
      </c>
      <c r="I31" s="66">
        <f t="shared" ref="I31:I42" si="3">MAX(0,_xlfn.DAYS(F31,MAX(E31,$R$23)-1))</f>
        <v>31</v>
      </c>
      <c r="J31" s="33">
        <f>+Z23</f>
        <v>0.7</v>
      </c>
      <c r="K31" s="33">
        <f>+AC23</f>
        <v>0.7</v>
      </c>
      <c r="L31" s="34">
        <f t="shared" ref="L31:L42" si="4">+G31/$G$43*$O$23</f>
        <v>143.53424657534245</v>
      </c>
      <c r="M31" s="35">
        <f t="shared" ref="M31:M42" si="5">(J31*H31+I31*K31)/(H31+I31)</f>
        <v>0.7</v>
      </c>
      <c r="N31" s="25">
        <f>IF(L31=0,0,+'1FRB'!$G$14)</f>
        <v>0</v>
      </c>
      <c r="O31" s="39">
        <f>MAX(0,MAX(L31,+H31/$U$23*J31*$Q$23+I31/$U$23*K31*$Q$23)-N31)</f>
        <v>143.53424657534245</v>
      </c>
    </row>
    <row r="32" spans="2:30">
      <c r="D32" s="25">
        <v>2</v>
      </c>
      <c r="E32" s="179">
        <f t="shared" si="0"/>
        <v>46054</v>
      </c>
      <c r="F32" s="179">
        <f t="shared" si="1"/>
        <v>46081</v>
      </c>
      <c r="G32" s="37">
        <f t="shared" ref="G32:G42" si="6">MAX(0,_xlfn.DAYS(F32,E32)+1)</f>
        <v>28</v>
      </c>
      <c r="H32" s="66">
        <f t="shared" si="2"/>
        <v>0</v>
      </c>
      <c r="I32" s="66">
        <f t="shared" si="3"/>
        <v>28</v>
      </c>
      <c r="J32" s="33">
        <f>+J31</f>
        <v>0.7</v>
      </c>
      <c r="K32" s="33">
        <f>+K31</f>
        <v>0.7</v>
      </c>
      <c r="L32" s="34">
        <f t="shared" si="4"/>
        <v>129.64383561643837</v>
      </c>
      <c r="M32" s="35">
        <f t="shared" si="5"/>
        <v>0.7</v>
      </c>
      <c r="N32" s="25">
        <f>IF(L32=0,0,+'1FRB'!$G$14)</f>
        <v>0</v>
      </c>
      <c r="O32" s="39">
        <f>MAX(0,MAX(L32,+H32/$U$23*J32*$Q$23+I32/$U$23*K32*$Q$23)-N32)</f>
        <v>129.64383561643837</v>
      </c>
    </row>
    <row r="33" spans="4:15">
      <c r="D33" s="25">
        <v>3</v>
      </c>
      <c r="E33" s="179">
        <f t="shared" si="0"/>
        <v>46082</v>
      </c>
      <c r="F33" s="179">
        <f t="shared" si="1"/>
        <v>46112</v>
      </c>
      <c r="G33" s="37">
        <f t="shared" si="6"/>
        <v>31</v>
      </c>
      <c r="H33" s="66">
        <f t="shared" si="2"/>
        <v>0</v>
      </c>
      <c r="I33" s="66">
        <f t="shared" si="3"/>
        <v>31</v>
      </c>
      <c r="J33" s="33">
        <f t="shared" ref="J33:K42" si="7">+J32</f>
        <v>0.7</v>
      </c>
      <c r="K33" s="33">
        <f t="shared" si="7"/>
        <v>0.7</v>
      </c>
      <c r="L33" s="34">
        <f t="shared" si="4"/>
        <v>143.53424657534245</v>
      </c>
      <c r="M33" s="35">
        <f t="shared" si="5"/>
        <v>0.7</v>
      </c>
      <c r="N33" s="25">
        <f>IF(L33=0,0,+'1FRB'!$G$14)</f>
        <v>0</v>
      </c>
      <c r="O33" s="39">
        <f t="shared" ref="O33:O42" si="8">MAX(0,MAX(L33,+H33/$U$23*J33*$Q$23+I33/$U$23*K33*$Q$23)-N33)</f>
        <v>143.53424657534245</v>
      </c>
    </row>
    <row r="34" spans="4:15">
      <c r="D34" s="25">
        <v>4</v>
      </c>
      <c r="E34" s="179">
        <f t="shared" si="0"/>
        <v>46113</v>
      </c>
      <c r="F34" s="179">
        <f t="shared" si="1"/>
        <v>46142</v>
      </c>
      <c r="G34" s="37">
        <f t="shared" si="6"/>
        <v>30</v>
      </c>
      <c r="H34" s="66">
        <f t="shared" si="2"/>
        <v>0</v>
      </c>
      <c r="I34" s="66">
        <f t="shared" si="3"/>
        <v>30</v>
      </c>
      <c r="J34" s="33">
        <f t="shared" si="7"/>
        <v>0.7</v>
      </c>
      <c r="K34" s="33">
        <f t="shared" si="7"/>
        <v>0.7</v>
      </c>
      <c r="L34" s="34">
        <f t="shared" si="4"/>
        <v>138.9041095890411</v>
      </c>
      <c r="M34" s="35">
        <f t="shared" si="5"/>
        <v>0.7</v>
      </c>
      <c r="N34" s="25">
        <f>IF(L34=0,0,+'1FRB'!$G$14)</f>
        <v>0</v>
      </c>
      <c r="O34" s="39">
        <f t="shared" si="8"/>
        <v>138.9041095890411</v>
      </c>
    </row>
    <row r="35" spans="4:15">
      <c r="D35" s="25">
        <v>5</v>
      </c>
      <c r="E35" s="179">
        <f t="shared" si="0"/>
        <v>46143</v>
      </c>
      <c r="F35" s="179">
        <f t="shared" si="1"/>
        <v>46173</v>
      </c>
      <c r="G35" s="37">
        <f t="shared" si="6"/>
        <v>31</v>
      </c>
      <c r="H35" s="66">
        <f t="shared" si="2"/>
        <v>0</v>
      </c>
      <c r="I35" s="66">
        <f t="shared" si="3"/>
        <v>31</v>
      </c>
      <c r="J35" s="33">
        <f t="shared" si="7"/>
        <v>0.7</v>
      </c>
      <c r="K35" s="33">
        <f t="shared" si="7"/>
        <v>0.7</v>
      </c>
      <c r="L35" s="34">
        <f t="shared" si="4"/>
        <v>143.53424657534245</v>
      </c>
      <c r="M35" s="35">
        <f t="shared" si="5"/>
        <v>0.7</v>
      </c>
      <c r="N35" s="25">
        <f>IF(L35=0,0,+'1FRB'!$G$14)</f>
        <v>0</v>
      </c>
      <c r="O35" s="39">
        <f t="shared" si="8"/>
        <v>143.53424657534245</v>
      </c>
    </row>
    <row r="36" spans="4:15">
      <c r="D36" s="25">
        <v>6</v>
      </c>
      <c r="E36" s="179">
        <f t="shared" si="0"/>
        <v>46174</v>
      </c>
      <c r="F36" s="179">
        <f t="shared" si="1"/>
        <v>46203</v>
      </c>
      <c r="G36" s="37">
        <f t="shared" si="6"/>
        <v>30</v>
      </c>
      <c r="H36" s="66">
        <f t="shared" si="2"/>
        <v>0</v>
      </c>
      <c r="I36" s="66">
        <f t="shared" si="3"/>
        <v>30</v>
      </c>
      <c r="J36" s="33">
        <f t="shared" si="7"/>
        <v>0.7</v>
      </c>
      <c r="K36" s="33">
        <f t="shared" si="7"/>
        <v>0.7</v>
      </c>
      <c r="L36" s="34">
        <f t="shared" si="4"/>
        <v>138.9041095890411</v>
      </c>
      <c r="M36" s="35">
        <f t="shared" si="5"/>
        <v>0.7</v>
      </c>
      <c r="N36" s="25">
        <f>IF(L36=0,0,+'1FRB'!$G$14)</f>
        <v>0</v>
      </c>
      <c r="O36" s="39">
        <f t="shared" si="8"/>
        <v>138.9041095890411</v>
      </c>
    </row>
    <row r="37" spans="4:15">
      <c r="D37" s="25">
        <v>7</v>
      </c>
      <c r="E37" s="179">
        <f t="shared" si="0"/>
        <v>46204</v>
      </c>
      <c r="F37" s="179">
        <f t="shared" si="1"/>
        <v>46234</v>
      </c>
      <c r="G37" s="37">
        <f t="shared" si="6"/>
        <v>31</v>
      </c>
      <c r="H37" s="66">
        <f t="shared" si="2"/>
        <v>0</v>
      </c>
      <c r="I37" s="66">
        <f t="shared" si="3"/>
        <v>31</v>
      </c>
      <c r="J37" s="33">
        <f t="shared" si="7"/>
        <v>0.7</v>
      </c>
      <c r="K37" s="33">
        <f t="shared" si="7"/>
        <v>0.7</v>
      </c>
      <c r="L37" s="34">
        <f t="shared" si="4"/>
        <v>143.53424657534245</v>
      </c>
      <c r="M37" s="35">
        <f t="shared" si="5"/>
        <v>0.7</v>
      </c>
      <c r="N37" s="25">
        <f>IF(L37=0,0,+'1FRB'!$G$14)</f>
        <v>0</v>
      </c>
      <c r="O37" s="39">
        <f t="shared" si="8"/>
        <v>143.53424657534245</v>
      </c>
    </row>
    <row r="38" spans="4:15">
      <c r="D38" s="25">
        <v>8</v>
      </c>
      <c r="E38" s="179">
        <f t="shared" si="0"/>
        <v>46235</v>
      </c>
      <c r="F38" s="179">
        <f t="shared" si="1"/>
        <v>46265</v>
      </c>
      <c r="G38" s="37">
        <f t="shared" si="6"/>
        <v>31</v>
      </c>
      <c r="H38" s="66">
        <f t="shared" si="2"/>
        <v>0</v>
      </c>
      <c r="I38" s="66">
        <f t="shared" si="3"/>
        <v>31</v>
      </c>
      <c r="J38" s="33">
        <f t="shared" si="7"/>
        <v>0.7</v>
      </c>
      <c r="K38" s="33">
        <f t="shared" si="7"/>
        <v>0.7</v>
      </c>
      <c r="L38" s="34">
        <f t="shared" si="4"/>
        <v>143.53424657534245</v>
      </c>
      <c r="M38" s="35">
        <f t="shared" si="5"/>
        <v>0.7</v>
      </c>
      <c r="N38" s="25">
        <f>IF(L38=0,0,+'1FRB'!$G$14)</f>
        <v>0</v>
      </c>
      <c r="O38" s="39">
        <f t="shared" si="8"/>
        <v>143.53424657534245</v>
      </c>
    </row>
    <row r="39" spans="4:15">
      <c r="D39" s="25">
        <v>9</v>
      </c>
      <c r="E39" s="179">
        <f t="shared" si="0"/>
        <v>46266</v>
      </c>
      <c r="F39" s="179">
        <f t="shared" si="1"/>
        <v>46295</v>
      </c>
      <c r="G39" s="37">
        <f t="shared" si="6"/>
        <v>30</v>
      </c>
      <c r="H39" s="66">
        <f t="shared" si="2"/>
        <v>0</v>
      </c>
      <c r="I39" s="66">
        <f t="shared" si="3"/>
        <v>30</v>
      </c>
      <c r="J39" s="33">
        <f t="shared" si="7"/>
        <v>0.7</v>
      </c>
      <c r="K39" s="33">
        <f t="shared" si="7"/>
        <v>0.7</v>
      </c>
      <c r="L39" s="34">
        <f t="shared" si="4"/>
        <v>138.9041095890411</v>
      </c>
      <c r="M39" s="35">
        <f t="shared" si="5"/>
        <v>0.7</v>
      </c>
      <c r="N39" s="25">
        <f>IF(L39=0,0,+'1FRB'!$G$14)</f>
        <v>0</v>
      </c>
      <c r="O39" s="39">
        <f t="shared" si="8"/>
        <v>138.9041095890411</v>
      </c>
    </row>
    <row r="40" spans="4:15">
      <c r="D40" s="25">
        <v>10</v>
      </c>
      <c r="E40" s="179">
        <f t="shared" si="0"/>
        <v>46296</v>
      </c>
      <c r="F40" s="179">
        <f t="shared" si="1"/>
        <v>46326</v>
      </c>
      <c r="G40" s="37">
        <f t="shared" si="6"/>
        <v>31</v>
      </c>
      <c r="H40" s="66">
        <f t="shared" si="2"/>
        <v>0</v>
      </c>
      <c r="I40" s="66">
        <f t="shared" si="3"/>
        <v>31</v>
      </c>
      <c r="J40" s="33">
        <f t="shared" si="7"/>
        <v>0.7</v>
      </c>
      <c r="K40" s="33">
        <f t="shared" si="7"/>
        <v>0.7</v>
      </c>
      <c r="L40" s="34">
        <f t="shared" si="4"/>
        <v>143.53424657534245</v>
      </c>
      <c r="M40" s="35">
        <f t="shared" si="5"/>
        <v>0.7</v>
      </c>
      <c r="N40" s="25">
        <f>IF(L40=0,0,+'1FRB'!$G$14)</f>
        <v>0</v>
      </c>
      <c r="O40" s="39">
        <f t="shared" si="8"/>
        <v>143.53424657534245</v>
      </c>
    </row>
    <row r="41" spans="4:15">
      <c r="D41" s="25">
        <v>11</v>
      </c>
      <c r="E41" s="179">
        <f t="shared" si="0"/>
        <v>46327</v>
      </c>
      <c r="F41" s="179">
        <f t="shared" si="1"/>
        <v>46356</v>
      </c>
      <c r="G41" s="37">
        <f t="shared" si="6"/>
        <v>30</v>
      </c>
      <c r="H41" s="66">
        <f t="shared" si="2"/>
        <v>0</v>
      </c>
      <c r="I41" s="66">
        <f t="shared" si="3"/>
        <v>30</v>
      </c>
      <c r="J41" s="33">
        <f t="shared" si="7"/>
        <v>0.7</v>
      </c>
      <c r="K41" s="33">
        <f t="shared" si="7"/>
        <v>0.7</v>
      </c>
      <c r="L41" s="34">
        <f t="shared" si="4"/>
        <v>138.9041095890411</v>
      </c>
      <c r="M41" s="35">
        <f t="shared" si="5"/>
        <v>0.7</v>
      </c>
      <c r="N41" s="25">
        <f>IF(L41=0,0,+'1FRB'!$G$14)</f>
        <v>0</v>
      </c>
      <c r="O41" s="39">
        <f t="shared" si="8"/>
        <v>138.9041095890411</v>
      </c>
    </row>
    <row r="42" spans="4:15">
      <c r="D42" s="25">
        <v>12</v>
      </c>
      <c r="E42" s="179">
        <f t="shared" si="0"/>
        <v>46357</v>
      </c>
      <c r="F42" s="179">
        <f t="shared" si="1"/>
        <v>46387</v>
      </c>
      <c r="G42" s="37">
        <f t="shared" si="6"/>
        <v>31</v>
      </c>
      <c r="H42" s="66">
        <f t="shared" si="2"/>
        <v>0</v>
      </c>
      <c r="I42" s="66">
        <f t="shared" si="3"/>
        <v>31</v>
      </c>
      <c r="J42" s="33">
        <f t="shared" si="7"/>
        <v>0.7</v>
      </c>
      <c r="K42" s="33">
        <f t="shared" si="7"/>
        <v>0.7</v>
      </c>
      <c r="L42" s="34">
        <f t="shared" si="4"/>
        <v>143.53424657534245</v>
      </c>
      <c r="M42" s="35">
        <f t="shared" si="5"/>
        <v>0.7</v>
      </c>
      <c r="N42" s="25">
        <f>IF(L42=0,0,+'1FRB'!$G$14)</f>
        <v>0</v>
      </c>
      <c r="O42" s="39">
        <f t="shared" si="8"/>
        <v>143.53424657534245</v>
      </c>
    </row>
    <row r="43" spans="4:15">
      <c r="G43" s="37">
        <f>SUM(G31:G42)</f>
        <v>365</v>
      </c>
      <c r="H43" s="37">
        <f>SUM(H31:H42)</f>
        <v>0</v>
      </c>
      <c r="I43" s="37">
        <f>SUM(I31:I42)</f>
        <v>365</v>
      </c>
      <c r="L43" s="39">
        <f>SUM(L31:L42)</f>
        <v>1690</v>
      </c>
      <c r="M43" s="39"/>
      <c r="N43" s="39">
        <f>SUM(N31:N42)</f>
        <v>0</v>
      </c>
      <c r="O43" s="39">
        <f>SUM(O31:O42)</f>
        <v>1690</v>
      </c>
    </row>
    <row r="44" spans="4:15">
      <c r="L44" s="39">
        <f>+L43-O43</f>
        <v>0</v>
      </c>
    </row>
  </sheetData>
  <sheetProtection algorithmName="SHA-512" hashValue="tC0lHKHD/tHKj7rLa4HkFnC71dsglUcoyRGENkaYkfEhVnQP19Ez1lNot7knGI1ue5444ZVlNrCfu6kKVL6n2g==" saltValue="J7GqHbDOsrv6dl4T11XQCw==" spinCount="100000" sheet="1" objects="1" scenarios="1"/>
  <mergeCells count="2">
    <mergeCell ref="J22:K22"/>
    <mergeCell ref="L22:M22"/>
  </mergeCells>
  <pageMargins left="0.7" right="0.7" top="0.75" bottom="0.75" header="0.3" footer="0.3"/>
  <pageSetup paperSize="9" orientation="portrait" horizontalDpi="300" verticalDpi="300" r:id="rId1"/>
  <headerFooter>
    <oddHeader>&amp;C&amp;Z&amp;F</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37F3A-C2D7-4881-B8D6-24DD351D6ECD}">
  <sheetPr codeName="Sheet7">
    <tabColor theme="0" tint="-4.9989318521683403E-2"/>
  </sheetPr>
  <dimension ref="B2:G56"/>
  <sheetViews>
    <sheetView showGridLines="0" showRowColHeaders="0" topLeftCell="A16" workbookViewId="0">
      <selection activeCell="D44" sqref="D44"/>
    </sheetView>
  </sheetViews>
  <sheetFormatPr defaultColWidth="9.125" defaultRowHeight="12"/>
  <cols>
    <col min="1" max="1" width="9.125" style="141"/>
    <col min="2" max="2" width="23.75" style="141" bestFit="1" customWidth="1"/>
    <col min="3" max="3" width="34.125" style="141" bestFit="1" customWidth="1"/>
    <col min="4" max="4" width="87.125" style="141" bestFit="1" customWidth="1"/>
    <col min="5" max="5" width="9.125" style="141"/>
    <col min="6" max="6" width="84" style="141" customWidth="1"/>
    <col min="7" max="7" width="68" style="141" customWidth="1"/>
    <col min="8" max="16384" width="9.125" style="141"/>
  </cols>
  <sheetData>
    <row r="2" spans="2:6" ht="30.75" customHeight="1">
      <c r="B2" s="266" t="e" cm="1">
        <f t="array" aca="1" ref="B2" ca="1">CELL("filename")</f>
        <v>#N/A</v>
      </c>
      <c r="C2" s="266"/>
      <c r="D2" s="266"/>
      <c r="E2" s="141">
        <v>113</v>
      </c>
      <c r="F2" s="142" t="e">
        <f ca="1">LEFT(B2,E2)</f>
        <v>#N/A</v>
      </c>
    </row>
    <row r="4" spans="2:6" ht="33" customHeight="1">
      <c r="B4" s="143" t="s">
        <v>122</v>
      </c>
      <c r="C4" s="267" t="e">
        <f ca="1">$F$2&amp;"TIQ_"&amp;D16</f>
        <v>#N/A</v>
      </c>
      <c r="D4" s="267"/>
      <c r="E4" s="141" t="e">
        <f ca="1">LEN(C4)</f>
        <v>#N/A</v>
      </c>
    </row>
    <row r="5" spans="2:6" ht="33" customHeight="1">
      <c r="B5" s="144" t="s">
        <v>123</v>
      </c>
      <c r="C5" s="268" t="e">
        <f ca="1">$F$2&amp;"TIQ_"&amp;D25</f>
        <v>#N/A</v>
      </c>
      <c r="D5" s="269"/>
      <c r="E5" s="141" t="e">
        <f ca="1">LEN(C5)</f>
        <v>#N/A</v>
      </c>
    </row>
    <row r="6" spans="2:6" ht="33" customHeight="1">
      <c r="B6" s="145" t="s">
        <v>124</v>
      </c>
      <c r="C6" s="270" t="e">
        <f ca="1">$F$2&amp;"BIC_"&amp;D37</f>
        <v>#N/A</v>
      </c>
      <c r="D6" s="270"/>
      <c r="E6" s="141" t="e">
        <f ca="1">LEN(C6)</f>
        <v>#N/A</v>
      </c>
    </row>
    <row r="7" spans="2:6" ht="33" customHeight="1">
      <c r="B7" s="146" t="s">
        <v>125</v>
      </c>
      <c r="C7" s="271" t="e">
        <f ca="1">$F$2&amp;"BIC_"&amp;D46</f>
        <v>#N/A</v>
      </c>
      <c r="D7" s="271"/>
      <c r="E7" s="141" t="e">
        <f ca="1">LEN(C7)</f>
        <v>#N/A</v>
      </c>
    </row>
    <row r="9" spans="2:6">
      <c r="B9" s="147" t="s">
        <v>126</v>
      </c>
    </row>
    <row r="10" spans="2:6">
      <c r="B10" s="148" t="str">
        <f>D35&amp;"-"&amp;D44&amp;"-"&amp;D14&amp;"-"&amp;D23</f>
        <v>472928-472927--</v>
      </c>
    </row>
    <row r="11" spans="2:6">
      <c r="B11" s="149"/>
    </row>
    <row r="12" spans="2:6">
      <c r="B12" s="225" t="s">
        <v>127</v>
      </c>
      <c r="C12" s="225"/>
      <c r="D12" s="149" t="s">
        <v>278</v>
      </c>
    </row>
    <row r="13" spans="2:6">
      <c r="B13" s="263" t="s">
        <v>128</v>
      </c>
      <c r="C13" s="264"/>
      <c r="D13" s="265"/>
    </row>
    <row r="14" spans="2:6">
      <c r="B14" s="272" t="s">
        <v>129</v>
      </c>
      <c r="C14" s="226" t="s">
        <v>130</v>
      </c>
      <c r="D14" s="227"/>
    </row>
    <row r="15" spans="2:6">
      <c r="B15" s="273"/>
      <c r="C15" s="226" t="s">
        <v>131</v>
      </c>
      <c r="D15" s="228" t="s">
        <v>260</v>
      </c>
    </row>
    <row r="16" spans="2:6">
      <c r="B16" s="273"/>
      <c r="C16" s="226" t="s">
        <v>132</v>
      </c>
      <c r="D16" s="228" t="s">
        <v>261</v>
      </c>
    </row>
    <row r="17" spans="2:4">
      <c r="B17" s="273"/>
      <c r="C17" s="226" t="s">
        <v>133</v>
      </c>
      <c r="D17" s="226" t="s">
        <v>134</v>
      </c>
    </row>
    <row r="18" spans="2:4" ht="72">
      <c r="B18" s="273"/>
      <c r="C18" s="229" t="s">
        <v>135</v>
      </c>
      <c r="D18" s="230" t="s">
        <v>270</v>
      </c>
    </row>
    <row r="19" spans="2:4">
      <c r="B19" s="273"/>
      <c r="C19" s="226" t="s">
        <v>136</v>
      </c>
      <c r="D19" s="226" t="s">
        <v>22</v>
      </c>
    </row>
    <row r="20" spans="2:4">
      <c r="B20" s="273"/>
      <c r="C20" s="226" t="s">
        <v>137</v>
      </c>
      <c r="D20" s="226" t="s">
        <v>264</v>
      </c>
    </row>
    <row r="21" spans="2:4">
      <c r="B21" s="273"/>
      <c r="C21" s="226" t="s">
        <v>138</v>
      </c>
      <c r="D21" s="226" t="s">
        <v>22</v>
      </c>
    </row>
    <row r="22" spans="2:4">
      <c r="B22" s="274"/>
      <c r="C22" s="226" t="s">
        <v>139</v>
      </c>
      <c r="D22" s="226" t="s">
        <v>140</v>
      </c>
    </row>
    <row r="23" spans="2:4">
      <c r="B23" s="272" t="s">
        <v>141</v>
      </c>
      <c r="C23" s="226" t="s">
        <v>130</v>
      </c>
      <c r="D23" s="227"/>
    </row>
    <row r="24" spans="2:4">
      <c r="B24" s="273"/>
      <c r="C24" s="226" t="s">
        <v>131</v>
      </c>
      <c r="D24" s="228" t="s">
        <v>262</v>
      </c>
    </row>
    <row r="25" spans="2:4">
      <c r="B25" s="273"/>
      <c r="C25" s="226" t="s">
        <v>132</v>
      </c>
      <c r="D25" s="228" t="s">
        <v>263</v>
      </c>
    </row>
    <row r="26" spans="2:4">
      <c r="B26" s="273"/>
      <c r="C26" s="226" t="s">
        <v>133</v>
      </c>
      <c r="D26" s="226" t="s">
        <v>134</v>
      </c>
    </row>
    <row r="27" spans="2:4" ht="60">
      <c r="B27" s="273"/>
      <c r="C27" s="231" t="s">
        <v>135</v>
      </c>
      <c r="D27" s="232" t="s">
        <v>271</v>
      </c>
    </row>
    <row r="28" spans="2:4">
      <c r="B28" s="273"/>
      <c r="C28" s="226" t="s">
        <v>136</v>
      </c>
      <c r="D28" s="226" t="s">
        <v>22</v>
      </c>
    </row>
    <row r="29" spans="2:4">
      <c r="B29" s="273"/>
      <c r="C29" s="226" t="s">
        <v>137</v>
      </c>
      <c r="D29" s="226" t="s">
        <v>264</v>
      </c>
    </row>
    <row r="30" spans="2:4">
      <c r="B30" s="273"/>
      <c r="C30" s="226" t="s">
        <v>138</v>
      </c>
      <c r="D30" s="226" t="s">
        <v>22</v>
      </c>
    </row>
    <row r="31" spans="2:4">
      <c r="B31" s="274"/>
      <c r="C31" s="226" t="s">
        <v>139</v>
      </c>
      <c r="D31" s="226" t="s">
        <v>140</v>
      </c>
    </row>
    <row r="33" spans="2:7">
      <c r="B33" s="141" t="s">
        <v>142</v>
      </c>
      <c r="D33" s="148" t="s">
        <v>279</v>
      </c>
    </row>
    <row r="34" spans="2:7">
      <c r="B34" s="275" t="s">
        <v>128</v>
      </c>
      <c r="C34" s="276"/>
      <c r="D34" s="277"/>
    </row>
    <row r="35" spans="2:7">
      <c r="B35" s="278" t="s">
        <v>129</v>
      </c>
      <c r="C35" s="150" t="s">
        <v>130</v>
      </c>
      <c r="D35" s="151">
        <v>472928</v>
      </c>
    </row>
    <row r="36" spans="2:7">
      <c r="B36" s="279"/>
      <c r="C36" s="150" t="s">
        <v>131</v>
      </c>
      <c r="D36" s="220" t="s">
        <v>280</v>
      </c>
    </row>
    <row r="37" spans="2:7">
      <c r="B37" s="279"/>
      <c r="C37" s="150" t="s">
        <v>132</v>
      </c>
      <c r="D37" s="220" t="s">
        <v>281</v>
      </c>
    </row>
    <row r="38" spans="2:7">
      <c r="B38" s="279"/>
      <c r="C38" s="150" t="s">
        <v>133</v>
      </c>
      <c r="D38" s="152" t="s">
        <v>134</v>
      </c>
    </row>
    <row r="39" spans="2:7">
      <c r="B39" s="279"/>
      <c r="C39" s="218" t="s">
        <v>135</v>
      </c>
      <c r="D39" s="219" t="s">
        <v>22</v>
      </c>
      <c r="G39" s="153"/>
    </row>
    <row r="40" spans="2:7">
      <c r="B40" s="279"/>
      <c r="C40" s="150" t="s">
        <v>136</v>
      </c>
      <c r="D40" s="152" t="s">
        <v>22</v>
      </c>
    </row>
    <row r="41" spans="2:7">
      <c r="B41" s="279"/>
      <c r="C41" s="150" t="s">
        <v>137</v>
      </c>
      <c r="D41" s="152" t="s">
        <v>284</v>
      </c>
    </row>
    <row r="42" spans="2:7">
      <c r="B42" s="279"/>
      <c r="C42" s="150" t="s">
        <v>138</v>
      </c>
      <c r="D42" s="152" t="s">
        <v>22</v>
      </c>
    </row>
    <row r="43" spans="2:7">
      <c r="B43" s="280"/>
      <c r="C43" s="150" t="s">
        <v>139</v>
      </c>
      <c r="D43" s="152" t="s">
        <v>140</v>
      </c>
    </row>
    <row r="44" spans="2:7">
      <c r="B44" s="278" t="s">
        <v>141</v>
      </c>
      <c r="C44" s="150" t="s">
        <v>130</v>
      </c>
      <c r="D44" s="151">
        <v>472927</v>
      </c>
      <c r="F44" s="153"/>
    </row>
    <row r="45" spans="2:7">
      <c r="B45" s="279"/>
      <c r="C45" s="150" t="s">
        <v>131</v>
      </c>
      <c r="D45" s="220" t="s">
        <v>282</v>
      </c>
    </row>
    <row r="46" spans="2:7">
      <c r="B46" s="279"/>
      <c r="C46" s="150" t="s">
        <v>132</v>
      </c>
      <c r="D46" s="220" t="s">
        <v>283</v>
      </c>
    </row>
    <row r="47" spans="2:7">
      <c r="B47" s="279"/>
      <c r="C47" s="150" t="s">
        <v>133</v>
      </c>
      <c r="D47" s="152" t="s">
        <v>134</v>
      </c>
    </row>
    <row r="48" spans="2:7">
      <c r="B48" s="279"/>
      <c r="C48" s="221" t="s">
        <v>135</v>
      </c>
      <c r="D48" s="222" t="s">
        <v>285</v>
      </c>
    </row>
    <row r="49" spans="2:4">
      <c r="B49" s="279"/>
      <c r="C49" s="150" t="s">
        <v>136</v>
      </c>
      <c r="D49" s="152" t="s">
        <v>22</v>
      </c>
    </row>
    <row r="50" spans="2:4">
      <c r="B50" s="279"/>
      <c r="C50" s="150" t="s">
        <v>137</v>
      </c>
      <c r="D50" s="152" t="s">
        <v>284</v>
      </c>
    </row>
    <row r="51" spans="2:4">
      <c r="B51" s="279"/>
      <c r="C51" s="150" t="s">
        <v>138</v>
      </c>
      <c r="D51" s="152" t="s">
        <v>22</v>
      </c>
    </row>
    <row r="52" spans="2:4">
      <c r="B52" s="280"/>
      <c r="C52" s="150" t="s">
        <v>139</v>
      </c>
      <c r="D52" s="152" t="s">
        <v>140</v>
      </c>
    </row>
    <row r="53" spans="2:4">
      <c r="B53" s="154"/>
      <c r="C53" s="155"/>
      <c r="D53" s="156"/>
    </row>
    <row r="55" spans="2:4" ht="17.399999999999999">
      <c r="B55" s="171" t="str">
        <f ca="1">IF(TODAY()&gt;DTM+395,"Deze rekentool is mogelijk verouderd. Download de meest recente versie.","")</f>
        <v/>
      </c>
      <c r="C55" s="172"/>
      <c r="D55" s="172"/>
    </row>
    <row r="56" spans="2:4" ht="17.399999999999999">
      <c r="B56" s="171" t="str">
        <f ca="1">IF(TODAY()&gt;DTM+395,"Cet outil de calcul est peut-être obsolète. Téléchargez la version la plus récente.","")</f>
        <v/>
      </c>
      <c r="C56" s="172"/>
      <c r="D56" s="172"/>
    </row>
  </sheetData>
  <sheetProtection algorithmName="SHA-512" hashValue="UEZCSpoe5LopkaXzfPCwEGBKXqysW3NBns3gksc8TAmORkeFYD19IJ7jB73KDvs7VEwciSC8E3ZvRdY/26HvWA==" saltValue="bJZkswaWBrf5EcWBKT3mMg==" spinCount="100000" sheet="1" objects="1" scenarios="1"/>
  <mergeCells count="11">
    <mergeCell ref="B14:B22"/>
    <mergeCell ref="B23:B31"/>
    <mergeCell ref="B34:D34"/>
    <mergeCell ref="B35:B43"/>
    <mergeCell ref="B44:B52"/>
    <mergeCell ref="B13:D13"/>
    <mergeCell ref="B2:D2"/>
    <mergeCell ref="C4:D4"/>
    <mergeCell ref="C5:D5"/>
    <mergeCell ref="C6:D6"/>
    <mergeCell ref="C7:D7"/>
  </mergeCells>
  <phoneticPr fontId="20" type="noConversion"/>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B0BFAF99-7148-48A8-8513-A5560074C638}"/>
    <hyperlink ref="C6" r:id="rId2" display="https://els1.sharepoint.com/teams/ToolsSolutions/Documents partages/Ber_Phil/aUpdate Tools/Updates 2023/01.2023/07 VAA auto - forfait beroepskosten of bewezen beroepskosten/BASIC/VAA auto_ beroepskosten of bewezen beroepskosten.xlsx" xr:uid="{40A7AC4F-4830-46EB-A0DC-9D72A88DCF18}"/>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2:N44"/>
  <sheetViews>
    <sheetView showGridLines="0" showRowColHeaders="0" zoomScaleNormal="100" workbookViewId="0"/>
  </sheetViews>
  <sheetFormatPr defaultRowHeight="15.9" customHeight="1"/>
  <cols>
    <col min="1" max="1" width="5.75" customWidth="1"/>
    <col min="2" max="3" width="16" customWidth="1"/>
    <col min="4" max="4" width="19.75" customWidth="1"/>
    <col min="5" max="9" width="16" customWidth="1"/>
    <col min="10" max="28" width="5.75" customWidth="1"/>
  </cols>
  <sheetData>
    <row r="2" spans="2:14" ht="30" customHeight="1" thickBot="1">
      <c r="B2" s="250" t="s">
        <v>92</v>
      </c>
      <c r="C2" s="250"/>
      <c r="D2" s="250"/>
      <c r="E2" s="250"/>
      <c r="F2" s="250"/>
      <c r="G2" s="250"/>
      <c r="H2" s="250"/>
      <c r="I2" s="250"/>
      <c r="K2" s="17" t="s">
        <v>0</v>
      </c>
      <c r="L2" s="16" t="s">
        <v>1</v>
      </c>
      <c r="M2" s="15" t="s">
        <v>2</v>
      </c>
      <c r="N2" s="14" t="s">
        <v>3</v>
      </c>
    </row>
    <row r="3" spans="2:14" ht="15.9" customHeight="1">
      <c r="K3" s="64"/>
      <c r="L3" s="64"/>
      <c r="M3" s="64"/>
      <c r="N3" s="64"/>
    </row>
    <row r="4" spans="2:14" ht="28.5" customHeight="1">
      <c r="B4" s="251" t="s">
        <v>99</v>
      </c>
      <c r="C4" s="251"/>
      <c r="D4" s="251"/>
      <c r="E4" s="251"/>
      <c r="F4" s="251"/>
      <c r="G4" s="251"/>
      <c r="H4" s="251"/>
      <c r="I4" s="251"/>
      <c r="K4" s="64"/>
      <c r="L4" s="64"/>
      <c r="M4" s="64"/>
      <c r="N4" s="64"/>
    </row>
    <row r="5" spans="2:14" ht="15.9" customHeight="1">
      <c r="B5" s="89"/>
      <c r="D5" s="90"/>
      <c r="E5" s="91"/>
      <c r="F5" s="91"/>
      <c r="G5" s="91"/>
      <c r="H5" s="89"/>
      <c r="I5" s="92"/>
      <c r="K5" s="64"/>
      <c r="L5" s="64"/>
      <c r="M5" s="64"/>
      <c r="N5" s="64"/>
    </row>
    <row r="6" spans="2:14" ht="15.9" customHeight="1">
      <c r="B6" s="13" t="s">
        <v>30</v>
      </c>
      <c r="K6" s="64"/>
      <c r="L6" s="64"/>
      <c r="M6" s="64"/>
      <c r="N6" s="64"/>
    </row>
    <row r="7" spans="2:14" ht="15.9" customHeight="1">
      <c r="B7" s="100" t="s">
        <v>88</v>
      </c>
      <c r="C7" s="94"/>
      <c r="D7" s="95" t="s">
        <v>153</v>
      </c>
      <c r="E7" s="101"/>
      <c r="F7" s="101"/>
      <c r="G7" s="101"/>
      <c r="H7" s="102"/>
      <c r="K7" s="64"/>
      <c r="L7" s="64"/>
      <c r="M7" s="64"/>
      <c r="N7" s="64"/>
    </row>
    <row r="8" spans="2:14" ht="15.9" customHeight="1">
      <c r="B8" s="103"/>
      <c r="D8" s="93"/>
      <c r="E8" s="104"/>
      <c r="F8" s="104"/>
      <c r="G8" s="104"/>
      <c r="H8" s="105"/>
      <c r="K8" s="64"/>
      <c r="L8" s="64"/>
      <c r="M8" s="64"/>
      <c r="N8" s="64"/>
    </row>
    <row r="9" spans="2:14" ht="15.9" customHeight="1">
      <c r="B9" s="100" t="s">
        <v>89</v>
      </c>
      <c r="C9" s="94"/>
      <c r="D9" s="95" t="s">
        <v>154</v>
      </c>
      <c r="E9" s="101"/>
      <c r="F9" s="101"/>
      <c r="G9" s="101"/>
      <c r="H9" s="102"/>
      <c r="K9" s="64"/>
      <c r="L9" s="64"/>
      <c r="M9" s="64"/>
      <c r="N9" s="64"/>
    </row>
    <row r="10" spans="2:14" ht="15.9" customHeight="1">
      <c r="B10" s="89"/>
      <c r="D10" s="90"/>
      <c r="E10" s="91"/>
      <c r="F10" s="91"/>
      <c r="G10" s="91"/>
      <c r="H10" s="89"/>
      <c r="I10" s="92"/>
      <c r="K10" s="64"/>
      <c r="L10" s="64"/>
      <c r="M10" s="64"/>
      <c r="N10" s="64"/>
    </row>
    <row r="11" spans="2:14" ht="15.9" customHeight="1">
      <c r="B11" s="99" t="s">
        <v>90</v>
      </c>
      <c r="D11" s="90"/>
      <c r="E11" s="91"/>
      <c r="F11" s="91"/>
      <c r="G11" s="91"/>
      <c r="H11" s="89"/>
      <c r="I11" s="92"/>
      <c r="K11" s="64"/>
      <c r="L11" s="64"/>
      <c r="M11" s="64"/>
      <c r="N11" s="64"/>
    </row>
    <row r="12" spans="2:14" ht="15.9" customHeight="1">
      <c r="B12" s="98" t="s">
        <v>156</v>
      </c>
      <c r="D12" s="90"/>
      <c r="E12" s="91"/>
      <c r="F12" s="91"/>
      <c r="G12" s="91"/>
      <c r="H12" s="89"/>
      <c r="I12" s="92"/>
      <c r="K12" s="64"/>
      <c r="L12" s="64"/>
      <c r="M12" s="64"/>
      <c r="N12" s="64"/>
    </row>
    <row r="13" spans="2:14" ht="47.25" customHeight="1">
      <c r="B13" s="252" t="s">
        <v>91</v>
      </c>
      <c r="C13" s="252"/>
      <c r="D13" s="252"/>
      <c r="E13" s="252"/>
      <c r="F13" s="252"/>
      <c r="G13" s="252"/>
      <c r="H13" s="252"/>
      <c r="I13" s="252"/>
      <c r="K13" s="64"/>
      <c r="L13" s="64"/>
      <c r="M13" s="64"/>
      <c r="N13" s="64"/>
    </row>
    <row r="14" spans="2:14" ht="15.9" customHeight="1">
      <c r="B14" s="111" t="s">
        <v>93</v>
      </c>
      <c r="C14" s="106" t="s">
        <v>95</v>
      </c>
      <c r="D14" s="88"/>
      <c r="F14" s="110">
        <v>50000</v>
      </c>
      <c r="G14" s="88"/>
      <c r="H14" s="88"/>
      <c r="I14" s="88"/>
      <c r="K14" s="64"/>
      <c r="L14" s="64"/>
      <c r="M14" s="64"/>
      <c r="N14" s="64"/>
    </row>
    <row r="15" spans="2:14" ht="15.9" customHeight="1">
      <c r="B15" s="97"/>
      <c r="C15" s="106" t="s">
        <v>94</v>
      </c>
      <c r="F15" s="110">
        <v>5000</v>
      </c>
      <c r="K15" s="64"/>
      <c r="L15" s="64"/>
      <c r="M15" s="64"/>
      <c r="N15" s="64"/>
    </row>
    <row r="16" spans="2:14" ht="15.9" customHeight="1">
      <c r="B16" s="97"/>
      <c r="C16" s="106" t="s">
        <v>96</v>
      </c>
      <c r="F16" s="108">
        <v>-2500</v>
      </c>
      <c r="K16" s="64"/>
      <c r="L16" s="64"/>
      <c r="M16" s="64"/>
      <c r="N16" s="64"/>
    </row>
    <row r="17" spans="2:14" ht="15.9" customHeight="1">
      <c r="B17" s="97"/>
      <c r="C17" s="106" t="s">
        <v>98</v>
      </c>
      <c r="F17" s="107">
        <f>SUM(F14:F16)</f>
        <v>52500</v>
      </c>
      <c r="K17" s="64"/>
      <c r="L17" s="64"/>
      <c r="M17" s="64"/>
      <c r="N17" s="64"/>
    </row>
    <row r="18" spans="2:14" ht="15.9" customHeight="1">
      <c r="B18" s="97"/>
      <c r="C18" s="106" t="s">
        <v>236</v>
      </c>
      <c r="F18" s="109">
        <f>+F17*0.21</f>
        <v>11025</v>
      </c>
      <c r="K18" s="64"/>
      <c r="L18" s="64"/>
      <c r="M18" s="64"/>
      <c r="N18" s="64"/>
    </row>
    <row r="19" spans="2:14" ht="15.9" customHeight="1">
      <c r="B19" s="97"/>
      <c r="C19" s="106" t="s">
        <v>97</v>
      </c>
      <c r="F19" s="110">
        <f>+F14+F15+F18</f>
        <v>66025</v>
      </c>
      <c r="K19" s="64"/>
      <c r="L19" s="64"/>
      <c r="M19" s="64"/>
      <c r="N19" s="64"/>
    </row>
    <row r="20" spans="2:14" ht="15.9" customHeight="1">
      <c r="C20" s="106"/>
      <c r="K20" s="64"/>
      <c r="L20" s="64"/>
      <c r="M20" s="64"/>
      <c r="N20" s="64"/>
    </row>
    <row r="21" spans="2:14" s="18" customFormat="1" ht="15.9" customHeight="1">
      <c r="B21" s="112" t="s">
        <v>100</v>
      </c>
      <c r="E21" s="19"/>
      <c r="I21"/>
      <c r="K21" s="64"/>
      <c r="L21" s="64"/>
      <c r="M21" s="64"/>
      <c r="N21" s="64"/>
    </row>
    <row r="22" spans="2:14" ht="33.75" customHeight="1">
      <c r="D22" s="248" t="s">
        <v>113</v>
      </c>
      <c r="E22" s="248"/>
      <c r="F22" s="253" t="s">
        <v>247</v>
      </c>
      <c r="G22" s="254"/>
      <c r="H22" s="254"/>
      <c r="I22" s="254"/>
      <c r="K22" s="64"/>
      <c r="L22" s="64"/>
      <c r="M22" s="64"/>
      <c r="N22" s="64"/>
    </row>
    <row r="23" spans="2:14" ht="15.9" customHeight="1">
      <c r="D23" s="116" t="s">
        <v>101</v>
      </c>
      <c r="E23" s="117">
        <v>1</v>
      </c>
      <c r="K23" s="64"/>
      <c r="L23" s="64"/>
      <c r="M23" s="64"/>
      <c r="N23" s="64"/>
    </row>
    <row r="24" spans="2:14" ht="15.9" customHeight="1">
      <c r="D24" s="116" t="s">
        <v>102</v>
      </c>
      <c r="E24" s="117">
        <v>0.94</v>
      </c>
      <c r="K24" s="64"/>
      <c r="L24" s="64"/>
      <c r="M24" s="64"/>
      <c r="N24" s="64"/>
    </row>
    <row r="25" spans="2:14" ht="15.9" customHeight="1">
      <c r="D25" s="116" t="s">
        <v>103</v>
      </c>
      <c r="E25" s="117">
        <v>0.88</v>
      </c>
      <c r="K25" s="64"/>
      <c r="L25" s="64"/>
      <c r="M25" s="64"/>
      <c r="N25" s="64"/>
    </row>
    <row r="26" spans="2:14" ht="15.9" customHeight="1">
      <c r="D26" s="116" t="s">
        <v>104</v>
      </c>
      <c r="E26" s="117">
        <v>0.82</v>
      </c>
      <c r="K26" s="64"/>
      <c r="L26" s="64"/>
      <c r="M26" s="64"/>
      <c r="N26" s="64"/>
    </row>
    <row r="27" spans="2:14" ht="15.9" customHeight="1">
      <c r="D27" s="116" t="s">
        <v>105</v>
      </c>
      <c r="E27" s="117">
        <v>0.76</v>
      </c>
      <c r="K27" s="64"/>
      <c r="L27" s="64"/>
      <c r="M27" s="64"/>
      <c r="N27" s="64"/>
    </row>
    <row r="28" spans="2:14" ht="15.9" customHeight="1">
      <c r="D28" s="116" t="s">
        <v>106</v>
      </c>
      <c r="E28" s="117">
        <v>0.7</v>
      </c>
      <c r="K28" s="64"/>
      <c r="L28" s="64"/>
      <c r="M28" s="64"/>
      <c r="N28" s="64"/>
    </row>
    <row r="29" spans="2:14" ht="15.9" customHeight="1">
      <c r="K29" s="64"/>
      <c r="L29" s="64"/>
      <c r="M29" s="64"/>
      <c r="N29" s="64"/>
    </row>
    <row r="30" spans="2:14" ht="15.9" customHeight="1">
      <c r="B30" s="99" t="s">
        <v>108</v>
      </c>
      <c r="K30" s="64"/>
      <c r="L30" s="64"/>
      <c r="M30" s="64"/>
      <c r="N30" s="64"/>
    </row>
    <row r="31" spans="2:14" ht="15.9" customHeight="1">
      <c r="B31" s="100" t="s">
        <v>107</v>
      </c>
      <c r="C31" s="94"/>
      <c r="D31" s="95" t="s">
        <v>112</v>
      </c>
      <c r="E31" s="94"/>
      <c r="F31" s="96"/>
      <c r="G31" s="94"/>
      <c r="H31" s="94"/>
      <c r="K31" s="64"/>
      <c r="L31" s="64"/>
      <c r="M31" s="64"/>
      <c r="N31" s="64"/>
    </row>
    <row r="32" spans="2:14" ht="15.9" customHeight="1">
      <c r="B32" s="91"/>
      <c r="D32" s="157" t="s">
        <v>162</v>
      </c>
      <c r="E32" s="113"/>
      <c r="F32" s="91"/>
      <c r="K32" s="64"/>
      <c r="L32" s="64"/>
      <c r="M32" s="64"/>
      <c r="N32" s="64"/>
    </row>
    <row r="33" spans="1:14" ht="15.9" customHeight="1">
      <c r="K33" s="64"/>
      <c r="L33" s="64"/>
      <c r="M33" s="64"/>
      <c r="N33" s="64"/>
    </row>
    <row r="34" spans="1:14" ht="15.9" customHeight="1">
      <c r="B34" s="247" t="s">
        <v>27</v>
      </c>
      <c r="C34" s="247" t="s">
        <v>38</v>
      </c>
      <c r="D34" s="247" t="s">
        <v>39</v>
      </c>
      <c r="E34" s="255" t="s">
        <v>109</v>
      </c>
      <c r="F34" s="255"/>
      <c r="G34" s="247" t="s">
        <v>29</v>
      </c>
      <c r="H34" s="247"/>
      <c r="I34" s="248" t="s">
        <v>40</v>
      </c>
      <c r="K34" s="64"/>
      <c r="L34" s="64"/>
      <c r="M34" s="64"/>
      <c r="N34" s="64"/>
    </row>
    <row r="35" spans="1:14" ht="15.9" customHeight="1">
      <c r="B35" s="247"/>
      <c r="C35" s="247"/>
      <c r="D35" s="247"/>
      <c r="E35" s="87" t="s">
        <v>25</v>
      </c>
      <c r="F35" s="87" t="s">
        <v>24</v>
      </c>
      <c r="G35" s="87" t="s">
        <v>25</v>
      </c>
      <c r="H35" s="87" t="s">
        <v>24</v>
      </c>
      <c r="I35" s="248"/>
      <c r="K35" s="64"/>
      <c r="L35" s="64"/>
      <c r="M35" s="64"/>
      <c r="N35" s="64"/>
    </row>
    <row r="36" spans="1:14" ht="15.9" customHeight="1">
      <c r="B36" s="84">
        <v>2026</v>
      </c>
      <c r="C36" s="85">
        <v>0.04</v>
      </c>
      <c r="D36" s="85">
        <v>0.18</v>
      </c>
      <c r="E36" s="84">
        <v>70</v>
      </c>
      <c r="F36" s="84">
        <v>58</v>
      </c>
      <c r="G36" s="84">
        <v>205</v>
      </c>
      <c r="H36" s="84">
        <v>195</v>
      </c>
      <c r="I36" s="86">
        <v>1690</v>
      </c>
      <c r="K36" s="64"/>
      <c r="L36" s="64"/>
      <c r="M36" s="64"/>
      <c r="N36" s="64"/>
    </row>
    <row r="37" spans="1:14" ht="15.9" customHeight="1">
      <c r="B37" s="84">
        <v>2025</v>
      </c>
      <c r="C37" s="85">
        <v>0.04</v>
      </c>
      <c r="D37" s="85">
        <v>0.18</v>
      </c>
      <c r="E37" s="84">
        <v>71</v>
      </c>
      <c r="F37" s="84">
        <v>59</v>
      </c>
      <c r="G37" s="84">
        <v>205</v>
      </c>
      <c r="H37" s="84">
        <v>195</v>
      </c>
      <c r="I37" s="86">
        <v>1650</v>
      </c>
      <c r="K37" s="64"/>
      <c r="L37" s="64"/>
      <c r="M37" s="64"/>
      <c r="N37" s="64"/>
    </row>
    <row r="38" spans="1:14" ht="15.9" customHeight="1">
      <c r="B38" s="84">
        <v>2024</v>
      </c>
      <c r="C38" s="85">
        <v>0.04</v>
      </c>
      <c r="D38" s="85">
        <v>0.18</v>
      </c>
      <c r="E38" s="84">
        <v>78</v>
      </c>
      <c r="F38" s="84">
        <v>65</v>
      </c>
      <c r="G38" s="84">
        <v>205</v>
      </c>
      <c r="H38" s="84">
        <v>195</v>
      </c>
      <c r="I38" s="86">
        <v>1600</v>
      </c>
      <c r="K38" s="64"/>
      <c r="L38" s="64"/>
      <c r="M38" s="64"/>
      <c r="N38" s="64"/>
    </row>
    <row r="39" spans="1:14" ht="15.9" customHeight="1">
      <c r="B39" s="84">
        <v>2023</v>
      </c>
      <c r="C39" s="85">
        <v>0.04</v>
      </c>
      <c r="D39" s="85">
        <v>0.18</v>
      </c>
      <c r="E39" s="84">
        <v>82</v>
      </c>
      <c r="F39" s="84">
        <v>67</v>
      </c>
      <c r="G39" s="84">
        <v>205</v>
      </c>
      <c r="H39" s="84">
        <v>195</v>
      </c>
      <c r="I39" s="86">
        <v>1540</v>
      </c>
      <c r="K39" s="64"/>
      <c r="L39" s="64"/>
      <c r="M39" s="64"/>
      <c r="N39" s="64"/>
    </row>
    <row r="40" spans="1:14" ht="15.9" customHeight="1">
      <c r="K40" s="64"/>
      <c r="L40" s="64"/>
      <c r="M40" s="64"/>
      <c r="N40" s="64"/>
    </row>
    <row r="41" spans="1:14" ht="15.9" customHeight="1">
      <c r="B41" s="114" t="s">
        <v>143</v>
      </c>
      <c r="C41" s="115"/>
      <c r="D41" s="115"/>
      <c r="E41" s="115"/>
      <c r="F41" s="115"/>
      <c r="G41" s="115"/>
      <c r="H41" s="115"/>
      <c r="I41" s="115"/>
      <c r="K41" s="64"/>
      <c r="L41" s="64"/>
      <c r="M41" s="64"/>
      <c r="N41" s="64"/>
    </row>
    <row r="42" spans="1:14" s="18" customFormat="1" ht="63.75" customHeight="1">
      <c r="B42" s="249" t="s">
        <v>110</v>
      </c>
      <c r="C42" s="249"/>
      <c r="D42" s="249"/>
      <c r="E42" s="249"/>
      <c r="F42" s="249"/>
      <c r="G42" s="249"/>
      <c r="H42" s="249"/>
      <c r="I42" s="249"/>
      <c r="K42" s="64"/>
      <c r="L42" s="64"/>
      <c r="M42" s="64"/>
      <c r="N42" s="64"/>
    </row>
    <row r="43" spans="1:14" ht="15.9" customHeight="1">
      <c r="B43" s="6"/>
      <c r="C43" s="6"/>
      <c r="D43" s="6"/>
      <c r="E43" s="6"/>
      <c r="F43" s="6"/>
      <c r="G43" s="6"/>
      <c r="H43" s="6"/>
      <c r="I43" s="6"/>
      <c r="K43" s="64"/>
      <c r="L43" s="64"/>
      <c r="M43" s="64"/>
      <c r="N43" s="64"/>
    </row>
    <row r="44" spans="1:14" ht="15.9" customHeight="1">
      <c r="A44" s="64"/>
      <c r="B44" s="64"/>
      <c r="C44" s="64"/>
      <c r="D44" s="64"/>
      <c r="E44" s="64"/>
      <c r="F44" s="64"/>
      <c r="G44" s="64"/>
      <c r="H44" s="64"/>
      <c r="I44" s="64"/>
      <c r="J44" s="64"/>
      <c r="K44" s="64"/>
      <c r="L44" s="64"/>
      <c r="M44" s="64"/>
      <c r="N44" s="64"/>
    </row>
  </sheetData>
  <sheetProtection algorithmName="SHA-512" hashValue="b3Uf9I/PBPX4z7eNfWPc+xbzusm6IMrUIqELWd8hO6mYtQn5X7Tw/htBhTY4MQ7coauRPpXYJnfx4OSXRhkzLQ==" saltValue="ip820YuzEDa50PTPN36hbg==" spinCount="100000" sheet="1" objects="1" scenarios="1"/>
  <mergeCells count="12">
    <mergeCell ref="G34:H34"/>
    <mergeCell ref="I34:I35"/>
    <mergeCell ref="B42:I42"/>
    <mergeCell ref="B2:I2"/>
    <mergeCell ref="B4:I4"/>
    <mergeCell ref="B13:I13"/>
    <mergeCell ref="D22:E22"/>
    <mergeCell ref="F22:I22"/>
    <mergeCell ref="B34:B35"/>
    <mergeCell ref="C34:C35"/>
    <mergeCell ref="D34:D35"/>
    <mergeCell ref="E34:F34"/>
  </mergeCells>
  <phoneticPr fontId="20" type="noConversion"/>
  <hyperlinks>
    <hyperlink ref="K2" location="Home!A1" tooltip="Home" display="Ç" xr:uid="{00000000-0004-0000-0100-000000000000}"/>
    <hyperlink ref="N2" location="'2'!A1" tooltip="volgende" display="Æ" xr:uid="{00000000-0004-0000-0100-000001000000}"/>
  </hyperlinks>
  <pageMargins left="0.7" right="0.7" top="0.75" bottom="0.75" header="0.3" footer="0.3"/>
  <pageSetup paperSize="9" scale="65" orientation="portrait" r:id="rId1"/>
  <headerFooter>
    <oddHeader>&amp;C&amp;Z&amp;F</oddHeader>
    <oddFooter>&amp;C&amp;P/&amp;N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tabColor theme="4" tint="0.79998168889431442"/>
    <pageSetUpPr autoPageBreaks="0" fitToPage="1"/>
  </sheetPr>
  <dimension ref="A1:S41"/>
  <sheetViews>
    <sheetView showGridLines="0" showRowColHeaders="0" zoomScaleNormal="100" workbookViewId="0"/>
  </sheetViews>
  <sheetFormatPr defaultColWidth="9.125" defaultRowHeight="15.9" customHeight="1"/>
  <cols>
    <col min="1" max="1" width="5.75" style="6" customWidth="1"/>
    <col min="2" max="2" width="30.25" style="6" customWidth="1"/>
    <col min="3" max="3" width="18.75" style="6" customWidth="1"/>
    <col min="4" max="4" width="21.375" style="6" customWidth="1"/>
    <col min="5" max="5" width="18.125" style="6" customWidth="1"/>
    <col min="6" max="7" width="21.625" style="6" customWidth="1"/>
    <col min="8" max="8" width="5.75" style="6" customWidth="1"/>
    <col min="9" max="14" width="5.75" style="7" customWidth="1"/>
    <col min="15" max="15" width="8.125" style="7" bestFit="1" customWidth="1"/>
    <col min="16" max="16" width="7.25" style="7" bestFit="1" customWidth="1"/>
    <col min="17" max="17" width="9.75" style="7" bestFit="1" customWidth="1"/>
    <col min="18" max="18" width="12" style="7" bestFit="1" customWidth="1"/>
    <col min="19" max="19" width="7.375" style="7" customWidth="1"/>
    <col min="20" max="43" width="5.75" style="7" customWidth="1"/>
    <col min="44" max="16384" width="9.125" style="7"/>
  </cols>
  <sheetData>
    <row r="1" spans="2:18" ht="15.9" customHeight="1" thickBot="1"/>
    <row r="2" spans="2:18" ht="30" customHeight="1" thickBot="1">
      <c r="B2" s="256" t="s">
        <v>111</v>
      </c>
      <c r="C2" s="256"/>
      <c r="D2" s="256"/>
      <c r="E2" s="256"/>
      <c r="F2" s="256"/>
      <c r="G2" s="256"/>
      <c r="I2" s="1" t="s">
        <v>0</v>
      </c>
      <c r="J2" s="2" t="s">
        <v>1</v>
      </c>
      <c r="K2" s="22" t="s">
        <v>2</v>
      </c>
      <c r="L2" s="3" t="s">
        <v>3</v>
      </c>
    </row>
    <row r="3" spans="2:18" ht="15.9" customHeight="1">
      <c r="G3" s="55"/>
      <c r="I3" s="56"/>
      <c r="J3" s="56"/>
      <c r="K3" s="56"/>
      <c r="L3" s="56"/>
    </row>
    <row r="4" spans="2:18" ht="15.9" customHeight="1">
      <c r="B4" s="13" t="s">
        <v>73</v>
      </c>
      <c r="C4" s="13"/>
      <c r="D4" s="5"/>
      <c r="E4" s="5"/>
      <c r="F4" s="5"/>
      <c r="I4" s="57"/>
      <c r="J4" s="57"/>
      <c r="K4" s="57"/>
      <c r="L4" s="57"/>
      <c r="M4" s="10"/>
      <c r="N4" s="10"/>
      <c r="O4" s="10"/>
      <c r="P4" s="10"/>
      <c r="Q4" s="10"/>
      <c r="R4" s="6"/>
    </row>
    <row r="5" spans="2:18" ht="15.9" customHeight="1">
      <c r="B5" s="8" t="s">
        <v>26</v>
      </c>
      <c r="C5" s="8"/>
      <c r="D5" s="5"/>
      <c r="E5" s="5"/>
      <c r="F5" s="5"/>
      <c r="I5" s="57"/>
      <c r="J5" s="57"/>
      <c r="K5" s="57"/>
      <c r="L5" s="57"/>
      <c r="M5" s="10"/>
      <c r="N5" s="10"/>
      <c r="O5" s="10"/>
      <c r="P5" s="10"/>
      <c r="Q5" s="10"/>
      <c r="R5" s="6"/>
    </row>
    <row r="6" spans="2:18" ht="15.9" customHeight="1">
      <c r="B6" s="8" t="s">
        <v>6</v>
      </c>
      <c r="C6" s="8"/>
      <c r="D6" s="5"/>
      <c r="E6" s="5"/>
      <c r="F6" s="5"/>
      <c r="I6" s="57"/>
      <c r="J6" s="57"/>
      <c r="K6" s="57"/>
      <c r="L6" s="57"/>
      <c r="M6" s="10"/>
      <c r="N6" s="10"/>
      <c r="O6" s="10"/>
      <c r="P6" s="10"/>
      <c r="Q6" s="10"/>
      <c r="R6" s="6"/>
    </row>
    <row r="7" spans="2:18" ht="15.9" customHeight="1">
      <c r="B7" s="4"/>
      <c r="C7" s="4"/>
      <c r="D7" s="5"/>
      <c r="E7" s="5"/>
      <c r="F7" s="5"/>
      <c r="I7" s="57"/>
      <c r="J7" s="57"/>
      <c r="K7" s="57"/>
      <c r="L7" s="57"/>
      <c r="M7" s="10"/>
      <c r="N7" s="10"/>
      <c r="O7" s="10"/>
      <c r="P7" s="10"/>
      <c r="Q7" s="10"/>
      <c r="R7" s="6"/>
    </row>
    <row r="8" spans="2:18" ht="15.9" customHeight="1">
      <c r="B8" s="8" t="s">
        <v>20</v>
      </c>
      <c r="C8" s="8"/>
      <c r="D8" s="5"/>
      <c r="E8" s="5"/>
      <c r="F8" s="5"/>
      <c r="G8" s="173"/>
      <c r="I8" s="57"/>
      <c r="J8" s="57"/>
      <c r="K8" s="57"/>
      <c r="L8" s="57"/>
      <c r="M8" s="10"/>
      <c r="N8" s="10"/>
      <c r="O8" s="10"/>
      <c r="P8" s="10"/>
      <c r="Q8" s="10"/>
      <c r="R8" s="6"/>
    </row>
    <row r="9" spans="2:18" ht="15.9" customHeight="1">
      <c r="B9" s="8" t="s">
        <v>71</v>
      </c>
      <c r="C9" s="8"/>
      <c r="D9" s="21"/>
      <c r="E9" s="21"/>
      <c r="F9" s="21"/>
      <c r="G9" s="173">
        <v>0</v>
      </c>
      <c r="I9" s="74" t="s">
        <v>1</v>
      </c>
      <c r="J9" s="57"/>
      <c r="K9" s="57"/>
      <c r="L9" s="57"/>
      <c r="M9" s="10"/>
      <c r="N9" s="10"/>
      <c r="O9" s="10"/>
      <c r="P9" s="10"/>
      <c r="Q9" s="10"/>
      <c r="R9" s="6"/>
    </row>
    <row r="10" spans="2:18" ht="15.9" customHeight="1">
      <c r="B10" s="8" t="s">
        <v>67</v>
      </c>
      <c r="C10" s="8"/>
      <c r="D10" s="8"/>
      <c r="E10" s="8"/>
      <c r="F10" s="8"/>
      <c r="G10" s="20">
        <v>0</v>
      </c>
      <c r="I10" s="74" t="s">
        <v>1</v>
      </c>
      <c r="J10" s="57"/>
      <c r="K10" s="57"/>
      <c r="L10" s="57"/>
      <c r="M10" s="10"/>
      <c r="N10" s="10"/>
      <c r="O10" s="10"/>
      <c r="P10" s="10"/>
      <c r="Q10" s="10"/>
      <c r="R10" s="6"/>
    </row>
    <row r="11" spans="2:18" ht="15.9" customHeight="1">
      <c r="B11" s="8" t="s">
        <v>252</v>
      </c>
      <c r="C11" s="8"/>
      <c r="D11" s="8"/>
      <c r="E11" s="8"/>
      <c r="F11" s="8"/>
      <c r="G11" s="174">
        <v>36526</v>
      </c>
      <c r="I11" s="57"/>
      <c r="J11" s="57"/>
      <c r="K11" s="57"/>
      <c r="L11" s="57"/>
      <c r="M11" s="10"/>
      <c r="N11" s="10"/>
    </row>
    <row r="12" spans="2:18" ht="15.9" customHeight="1">
      <c r="B12" s="8" t="s">
        <v>68</v>
      </c>
      <c r="C12" s="8"/>
      <c r="D12" s="8"/>
      <c r="E12" s="8"/>
      <c r="F12" s="8"/>
      <c r="G12" s="174">
        <f>+G11</f>
        <v>36526</v>
      </c>
      <c r="I12" s="57"/>
      <c r="J12" s="57"/>
      <c r="K12" s="57"/>
      <c r="L12" s="57"/>
      <c r="M12" s="10"/>
      <c r="N12" s="10"/>
    </row>
    <row r="13" spans="2:18" ht="15.9" customHeight="1">
      <c r="B13" s="8" t="s">
        <v>69</v>
      </c>
      <c r="C13" s="8"/>
      <c r="D13" s="8"/>
      <c r="E13" s="8"/>
      <c r="F13" s="8"/>
      <c r="G13" s="174"/>
      <c r="I13" s="57"/>
      <c r="J13" s="57"/>
      <c r="K13" s="57"/>
      <c r="L13" s="57"/>
      <c r="M13" s="10"/>
      <c r="N13" s="10"/>
    </row>
    <row r="14" spans="2:18" ht="15.9" customHeight="1">
      <c r="B14" s="8" t="s">
        <v>238</v>
      </c>
      <c r="C14" s="8"/>
      <c r="D14" s="8"/>
      <c r="E14" s="8"/>
      <c r="F14" s="8"/>
      <c r="G14" s="20"/>
      <c r="I14" s="57"/>
      <c r="J14" s="57"/>
      <c r="K14" s="57"/>
      <c r="L14" s="57"/>
      <c r="M14" s="10"/>
      <c r="N14" s="10"/>
    </row>
    <row r="15" spans="2:18" ht="15.9" customHeight="1">
      <c r="B15" s="8"/>
      <c r="C15" s="8"/>
      <c r="D15" s="7"/>
      <c r="E15" s="7"/>
      <c r="F15" s="7"/>
      <c r="G15" s="8"/>
      <c r="I15" s="57"/>
      <c r="J15" s="57"/>
      <c r="K15" s="57"/>
      <c r="L15" s="57"/>
      <c r="M15" s="10"/>
      <c r="N15" s="10"/>
    </row>
    <row r="16" spans="2:18" ht="15.9" customHeight="1">
      <c r="B16" s="13" t="s">
        <v>70</v>
      </c>
      <c r="C16" s="13"/>
      <c r="D16" s="54"/>
      <c r="E16" s="54"/>
      <c r="F16" s="54"/>
      <c r="G16" s="54"/>
      <c r="I16" s="57"/>
      <c r="J16" s="57"/>
      <c r="K16" s="57"/>
      <c r="L16" s="57"/>
      <c r="M16" s="10"/>
      <c r="N16" s="10"/>
    </row>
    <row r="17" spans="2:19" ht="15.9" customHeight="1">
      <c r="B17" s="8" t="s">
        <v>19</v>
      </c>
      <c r="C17" s="8"/>
      <c r="D17" s="54"/>
      <c r="E17" s="54"/>
      <c r="F17" s="54"/>
      <c r="G17" s="65">
        <f>+calc!P23</f>
        <v>0.04</v>
      </c>
      <c r="I17" s="58"/>
      <c r="J17" s="59" t="b">
        <v>0</v>
      </c>
      <c r="K17" s="60"/>
      <c r="L17" s="60"/>
      <c r="M17" s="10"/>
      <c r="N17" s="10"/>
    </row>
    <row r="18" spans="2:19" ht="15.9" customHeight="1">
      <c r="B18" s="8" t="s">
        <v>241</v>
      </c>
      <c r="C18" s="8"/>
      <c r="D18" s="54"/>
      <c r="E18" s="54"/>
      <c r="F18" s="54"/>
      <c r="G18" s="81">
        <f>MAX(calc!N23,+G10*G17*0.857142857142857)</f>
        <v>1690</v>
      </c>
      <c r="I18" s="59" t="b">
        <v>1</v>
      </c>
      <c r="J18" s="60"/>
      <c r="K18" s="61"/>
      <c r="L18" s="60"/>
      <c r="M18" s="10"/>
      <c r="N18" s="10"/>
    </row>
    <row r="19" spans="2:19" ht="15.9" customHeight="1">
      <c r="B19" s="8"/>
      <c r="C19" s="8"/>
      <c r="D19" s="79"/>
      <c r="E19" s="79"/>
      <c r="F19" s="79"/>
      <c r="G19" s="159" t="str">
        <f>IF(G18=calc!N23,"het minimum is van toepassing","")</f>
        <v>het minimum is van toepassing</v>
      </c>
      <c r="I19" s="62"/>
      <c r="J19" s="60"/>
      <c r="K19" s="60"/>
      <c r="L19" s="60"/>
      <c r="M19" s="10"/>
      <c r="N19" s="10"/>
    </row>
    <row r="20" spans="2:19" ht="15.9" customHeight="1">
      <c r="B20" s="13" t="s">
        <v>80</v>
      </c>
      <c r="C20" s="13"/>
      <c r="D20" s="7"/>
      <c r="E20" s="7"/>
      <c r="F20" s="7"/>
      <c r="G20" s="7"/>
      <c r="I20" s="62"/>
      <c r="J20" s="60"/>
      <c r="K20" s="60"/>
      <c r="L20" s="60"/>
      <c r="M20" s="10"/>
      <c r="N20" s="10"/>
    </row>
    <row r="21" spans="2:19" ht="15.9" customHeight="1">
      <c r="B21" s="67" t="s">
        <v>81</v>
      </c>
      <c r="C21" s="67" t="s">
        <v>87</v>
      </c>
      <c r="D21" s="67" t="s">
        <v>83</v>
      </c>
      <c r="E21" s="67" t="s">
        <v>48</v>
      </c>
      <c r="F21" s="67" t="s">
        <v>240</v>
      </c>
      <c r="G21" s="67" t="s">
        <v>242</v>
      </c>
      <c r="I21" s="62"/>
      <c r="J21" s="60"/>
      <c r="K21" s="60"/>
      <c r="L21" s="60"/>
      <c r="M21" s="10"/>
      <c r="N21" s="10"/>
    </row>
    <row r="22" spans="2:19" ht="15.9" customHeight="1">
      <c r="B22" s="68" t="s">
        <v>7</v>
      </c>
      <c r="C22" s="69">
        <f>+calc!G31</f>
        <v>31</v>
      </c>
      <c r="D22" s="70">
        <f>IF(C22=0,"",+calc!M31)</f>
        <v>0.7</v>
      </c>
      <c r="E22" s="82">
        <f>+G22+F22</f>
        <v>143.53424657534245</v>
      </c>
      <c r="F22" s="82">
        <f>+calc!N31</f>
        <v>0</v>
      </c>
      <c r="G22" s="82">
        <f>+calc!O31</f>
        <v>143.53424657534245</v>
      </c>
      <c r="I22" s="62"/>
      <c r="J22" s="60"/>
      <c r="K22" s="60"/>
      <c r="L22" s="60"/>
      <c r="M22" s="10"/>
      <c r="N22" s="10"/>
    </row>
    <row r="23" spans="2:19" ht="15.9" customHeight="1">
      <c r="B23" s="68" t="s">
        <v>8</v>
      </c>
      <c r="C23" s="69">
        <f>+calc!G32</f>
        <v>28</v>
      </c>
      <c r="D23" s="70">
        <f>IF(C23=0,"",+calc!M32)</f>
        <v>0.7</v>
      </c>
      <c r="E23" s="82">
        <f t="shared" ref="E23:E33" si="0">+G23+F23</f>
        <v>129.64383561643837</v>
      </c>
      <c r="F23" s="82">
        <f>+calc!N32</f>
        <v>0</v>
      </c>
      <c r="G23" s="82">
        <f>+calc!O32</f>
        <v>129.64383561643837</v>
      </c>
      <c r="I23" s="62"/>
      <c r="J23" s="60"/>
      <c r="K23" s="60"/>
      <c r="L23" s="60"/>
      <c r="M23" s="10"/>
      <c r="N23" s="10"/>
    </row>
    <row r="24" spans="2:19" ht="15.9" customHeight="1">
      <c r="B24" s="68" t="s">
        <v>9</v>
      </c>
      <c r="C24" s="69">
        <f>+calc!G33</f>
        <v>31</v>
      </c>
      <c r="D24" s="70">
        <f>IF(C24=0,"",+calc!M33)</f>
        <v>0.7</v>
      </c>
      <c r="E24" s="82">
        <f t="shared" si="0"/>
        <v>143.53424657534245</v>
      </c>
      <c r="F24" s="82">
        <f>+calc!N33</f>
        <v>0</v>
      </c>
      <c r="G24" s="82">
        <f>+calc!O33</f>
        <v>143.53424657534245</v>
      </c>
      <c r="I24" s="62"/>
      <c r="J24" s="62"/>
      <c r="K24" s="62"/>
      <c r="L24" s="62"/>
      <c r="M24" s="10"/>
      <c r="N24" s="10"/>
    </row>
    <row r="25" spans="2:19" ht="15.9" customHeight="1">
      <c r="B25" s="68" t="s">
        <v>10</v>
      </c>
      <c r="C25" s="69">
        <f>+calc!G34</f>
        <v>30</v>
      </c>
      <c r="D25" s="70">
        <f>IF(C25=0,"",+calc!M34)</f>
        <v>0.7</v>
      </c>
      <c r="E25" s="82">
        <f t="shared" si="0"/>
        <v>138.9041095890411</v>
      </c>
      <c r="F25" s="82">
        <f>+calc!N34</f>
        <v>0</v>
      </c>
      <c r="G25" s="82">
        <f>+calc!O34</f>
        <v>138.9041095890411</v>
      </c>
      <c r="H25" s="8"/>
      <c r="I25" s="62"/>
      <c r="J25" s="62"/>
      <c r="K25" s="62"/>
      <c r="L25" s="62"/>
      <c r="M25" s="10"/>
      <c r="N25" s="10"/>
    </row>
    <row r="26" spans="2:19" ht="15.9" customHeight="1">
      <c r="B26" s="68" t="s">
        <v>11</v>
      </c>
      <c r="C26" s="69">
        <f>+calc!G35</f>
        <v>31</v>
      </c>
      <c r="D26" s="70">
        <f>IF(C26=0,"",+calc!M35)</f>
        <v>0.7</v>
      </c>
      <c r="E26" s="82">
        <f t="shared" si="0"/>
        <v>143.53424657534245</v>
      </c>
      <c r="F26" s="82">
        <f>+calc!N35</f>
        <v>0</v>
      </c>
      <c r="G26" s="82">
        <f>+calc!O35</f>
        <v>143.53424657534245</v>
      </c>
      <c r="H26" s="8"/>
      <c r="I26" s="62"/>
      <c r="J26" s="62"/>
      <c r="K26" s="62"/>
      <c r="L26" s="62"/>
      <c r="M26" s="10"/>
      <c r="N26" s="10"/>
    </row>
    <row r="27" spans="2:19" ht="15.9" customHeight="1">
      <c r="B27" s="68" t="s">
        <v>12</v>
      </c>
      <c r="C27" s="69">
        <f>+calc!G36</f>
        <v>30</v>
      </c>
      <c r="D27" s="70">
        <f>IF(C27=0,"",+calc!M36)</f>
        <v>0.7</v>
      </c>
      <c r="E27" s="82">
        <f t="shared" si="0"/>
        <v>138.9041095890411</v>
      </c>
      <c r="F27" s="82">
        <f>+calc!N36</f>
        <v>0</v>
      </c>
      <c r="G27" s="82">
        <f>+calc!O36</f>
        <v>138.9041095890411</v>
      </c>
      <c r="H27" s="8"/>
      <c r="I27" s="62"/>
      <c r="J27" s="62"/>
      <c r="K27" s="62"/>
      <c r="L27" s="62"/>
      <c r="M27" s="10"/>
      <c r="N27" s="10"/>
    </row>
    <row r="28" spans="2:19" ht="15.9" customHeight="1">
      <c r="B28" s="68" t="s">
        <v>13</v>
      </c>
      <c r="C28" s="69">
        <f>+calc!G37</f>
        <v>31</v>
      </c>
      <c r="D28" s="70">
        <f>IF(C28=0,"",+calc!M37)</f>
        <v>0.7</v>
      </c>
      <c r="E28" s="82">
        <f t="shared" si="0"/>
        <v>143.53424657534245</v>
      </c>
      <c r="F28" s="82">
        <f>+calc!N37</f>
        <v>0</v>
      </c>
      <c r="G28" s="82">
        <f>+calc!O37</f>
        <v>143.53424657534245</v>
      </c>
      <c r="H28" s="8"/>
      <c r="I28" s="62"/>
      <c r="J28" s="62"/>
      <c r="K28" s="62"/>
      <c r="L28" s="62"/>
      <c r="M28" s="10"/>
      <c r="N28" s="10"/>
    </row>
    <row r="29" spans="2:19" ht="15.9" customHeight="1">
      <c r="B29" s="68" t="s">
        <v>14</v>
      </c>
      <c r="C29" s="69">
        <f>+calc!G38</f>
        <v>31</v>
      </c>
      <c r="D29" s="70">
        <f>IF(C29=0,"",+calc!M38)</f>
        <v>0.7</v>
      </c>
      <c r="E29" s="82">
        <f t="shared" si="0"/>
        <v>143.53424657534245</v>
      </c>
      <c r="F29" s="82">
        <f>+calc!N38</f>
        <v>0</v>
      </c>
      <c r="G29" s="82">
        <f>+calc!O38</f>
        <v>143.53424657534245</v>
      </c>
      <c r="I29" s="63"/>
      <c r="J29" s="63"/>
      <c r="K29" s="63"/>
      <c r="L29" s="64"/>
      <c r="M29" s="10"/>
      <c r="N29" s="10"/>
    </row>
    <row r="30" spans="2:19" ht="15.9" customHeight="1">
      <c r="B30" s="68" t="s">
        <v>15</v>
      </c>
      <c r="C30" s="69">
        <f>+calc!G39</f>
        <v>30</v>
      </c>
      <c r="D30" s="70">
        <f>IF(C30=0,"",+calc!M39)</f>
        <v>0.7</v>
      </c>
      <c r="E30" s="82">
        <f t="shared" si="0"/>
        <v>138.9041095890411</v>
      </c>
      <c r="F30" s="82">
        <f>+calc!N39</f>
        <v>0</v>
      </c>
      <c r="G30" s="82">
        <f>+calc!O39</f>
        <v>138.9041095890411</v>
      </c>
      <c r="I30" s="63"/>
      <c r="J30" s="63"/>
      <c r="K30" s="63"/>
      <c r="L30" s="64"/>
      <c r="M30" s="10"/>
      <c r="N30" s="10"/>
      <c r="O30" s="10"/>
      <c r="P30" s="10"/>
      <c r="Q30" s="10"/>
      <c r="R30" s="6"/>
      <c r="S30" s="6"/>
    </row>
    <row r="31" spans="2:19" ht="15.9" customHeight="1">
      <c r="B31" s="68" t="s">
        <v>16</v>
      </c>
      <c r="C31" s="69">
        <f>+calc!G40</f>
        <v>31</v>
      </c>
      <c r="D31" s="70">
        <f>IF(C31=0,"",+calc!M40)</f>
        <v>0.7</v>
      </c>
      <c r="E31" s="82">
        <f t="shared" si="0"/>
        <v>143.53424657534245</v>
      </c>
      <c r="F31" s="82">
        <f>+calc!N40</f>
        <v>0</v>
      </c>
      <c r="G31" s="82">
        <f>+calc!O40</f>
        <v>143.53424657534245</v>
      </c>
      <c r="I31" s="63"/>
      <c r="J31" s="63"/>
      <c r="K31" s="63"/>
      <c r="L31" s="64"/>
      <c r="P31" s="6"/>
      <c r="Q31" s="6"/>
      <c r="R31" s="6"/>
      <c r="S31" s="6"/>
    </row>
    <row r="32" spans="2:19" ht="15.9" customHeight="1">
      <c r="B32" s="68" t="s">
        <v>17</v>
      </c>
      <c r="C32" s="69">
        <f>+calc!G41</f>
        <v>30</v>
      </c>
      <c r="D32" s="70">
        <f>IF(C32=0,"",+calc!M41)</f>
        <v>0.7</v>
      </c>
      <c r="E32" s="82">
        <f t="shared" si="0"/>
        <v>138.9041095890411</v>
      </c>
      <c r="F32" s="82">
        <f>+calc!N41</f>
        <v>0</v>
      </c>
      <c r="G32" s="82">
        <f>+calc!O41</f>
        <v>138.9041095890411</v>
      </c>
      <c r="I32" s="63"/>
      <c r="J32" s="63"/>
      <c r="K32" s="63"/>
      <c r="L32" s="64"/>
      <c r="P32" s="6"/>
      <c r="Q32" s="6"/>
      <c r="R32" s="6"/>
      <c r="S32" s="6"/>
    </row>
    <row r="33" spans="1:12" ht="15.9" customHeight="1">
      <c r="B33" s="68" t="s">
        <v>18</v>
      </c>
      <c r="C33" s="69">
        <f>+calc!G42</f>
        <v>31</v>
      </c>
      <c r="D33" s="70">
        <f>IF(C33=0,"",+calc!M42)</f>
        <v>0.7</v>
      </c>
      <c r="E33" s="82">
        <f t="shared" si="0"/>
        <v>143.53424657534245</v>
      </c>
      <c r="F33" s="82">
        <f>+calc!N42</f>
        <v>0</v>
      </c>
      <c r="G33" s="82">
        <f>+calc!O42</f>
        <v>143.53424657534245</v>
      </c>
      <c r="I33" s="63"/>
      <c r="J33" s="63"/>
      <c r="K33" s="63"/>
      <c r="L33" s="64"/>
    </row>
    <row r="34" spans="1:12" ht="15.9" customHeight="1">
      <c r="B34" s="71" t="s">
        <v>82</v>
      </c>
      <c r="C34" s="72">
        <f>SUM(C22:C33)</f>
        <v>365</v>
      </c>
      <c r="D34" s="73"/>
      <c r="E34" s="83">
        <f>SUM(E22:E33)</f>
        <v>1690</v>
      </c>
      <c r="F34" s="83">
        <f>SUM(F22:F33)</f>
        <v>0</v>
      </c>
      <c r="G34" s="83">
        <f>SUM(G22:G33)</f>
        <v>1690</v>
      </c>
      <c r="I34" s="63"/>
      <c r="J34" s="63"/>
      <c r="K34" s="63"/>
      <c r="L34" s="64"/>
    </row>
    <row r="35" spans="1:12" ht="15.9" customHeight="1">
      <c r="B35" s="8"/>
      <c r="C35" s="8"/>
      <c r="D35" s="12"/>
      <c r="E35" s="12"/>
      <c r="F35" s="12"/>
      <c r="G35" s="12"/>
      <c r="I35" s="63"/>
      <c r="J35" s="63"/>
      <c r="K35" s="63"/>
      <c r="L35" s="64"/>
    </row>
    <row r="36" spans="1:12" ht="15.9" customHeight="1">
      <c r="B36" s="13" t="s">
        <v>33</v>
      </c>
      <c r="C36" s="13"/>
      <c r="D36" s="8"/>
      <c r="E36" s="8"/>
      <c r="F36" s="8"/>
      <c r="G36" s="9">
        <f>+calc!E23</f>
        <v>2026</v>
      </c>
      <c r="I36" s="63"/>
      <c r="J36" s="63"/>
      <c r="K36" s="63"/>
      <c r="L36" s="64"/>
    </row>
    <row r="37" spans="1:12" ht="15.9" customHeight="1">
      <c r="B37" s="8" t="s">
        <v>237</v>
      </c>
      <c r="C37" s="8"/>
      <c r="G37" s="11">
        <f>+G34</f>
        <v>1690</v>
      </c>
      <c r="I37" s="63"/>
      <c r="J37" s="63"/>
      <c r="K37" s="63"/>
      <c r="L37" s="64"/>
    </row>
    <row r="38" spans="1:12" ht="15.9" customHeight="1">
      <c r="B38" s="8" t="s">
        <v>84</v>
      </c>
      <c r="C38" s="8"/>
      <c r="D38" s="8"/>
      <c r="E38" s="8"/>
      <c r="F38" s="161" t="str">
        <f>"(op "&amp;TEXT($E$34,"#.###,00")&amp;")"</f>
        <v>(op 1.690,00)</v>
      </c>
      <c r="G38" s="11">
        <f>+E34*0.4</f>
        <v>676</v>
      </c>
      <c r="I38" s="63"/>
      <c r="J38" s="63"/>
      <c r="K38" s="63"/>
      <c r="L38" s="64"/>
    </row>
    <row r="39" spans="1:12" ht="15.9" customHeight="1">
      <c r="B39" s="8" t="s">
        <v>85</v>
      </c>
      <c r="C39" s="8"/>
      <c r="D39" s="8"/>
      <c r="E39" s="8"/>
      <c r="F39" s="161" t="str">
        <f>"(op "&amp;TEXT($E$34,"#.###,00")&amp;")"</f>
        <v>(op 1.690,00)</v>
      </c>
      <c r="G39" s="11">
        <f>+E34*0.17</f>
        <v>287.3</v>
      </c>
      <c r="I39" s="63"/>
      <c r="J39" s="63"/>
      <c r="K39" s="63"/>
      <c r="L39" s="64"/>
    </row>
    <row r="40" spans="1:12" ht="15.9" customHeight="1">
      <c r="B40" s="8"/>
      <c r="C40" s="8"/>
      <c r="D40" s="8"/>
      <c r="E40" s="8"/>
      <c r="F40" s="8"/>
      <c r="G40" s="8"/>
      <c r="I40" s="63"/>
      <c r="J40" s="63"/>
      <c r="K40" s="63"/>
      <c r="L40" s="64"/>
    </row>
    <row r="41" spans="1:12" ht="15.9" customHeight="1">
      <c r="A41" s="63"/>
      <c r="B41" s="63"/>
      <c r="C41" s="63"/>
      <c r="D41" s="63"/>
      <c r="E41" s="63"/>
      <c r="F41" s="63"/>
      <c r="G41" s="63"/>
      <c r="H41" s="63"/>
      <c r="I41" s="63"/>
      <c r="J41" s="63"/>
      <c r="K41" s="63"/>
      <c r="L41" s="64"/>
    </row>
  </sheetData>
  <sheetProtection algorithmName="SHA-512" hashValue="oI2drPWL+R+TCAcc7dGlS/dD6K1p2Jsy66pRy9l7gK2t4F6D3CNcxHapmc3h0v7tHQ28Z2cDKYDk56iITp9t1Q==" saltValue="G8S82z88NVfzAkyM7oHWAQ==" spinCount="100000" sheet="1" objects="1" scenarios="1"/>
  <mergeCells count="1">
    <mergeCell ref="B2:G2"/>
  </mergeCells>
  <hyperlinks>
    <hyperlink ref="I2" location="Home!A1" tooltip="Home" display="Ç" xr:uid="{00000000-0004-0000-0200-000000000000}"/>
    <hyperlink ref="K2" location="'1'!A1" tooltip="Vorige" display="Å" xr:uid="{00000000-0004-0000-0200-000001000000}"/>
  </hyperlinks>
  <pageMargins left="0.78740157480314965" right="0.78740157480314965" top="0.78740157480314965" bottom="0.78740157480314965" header="0.31496062992125984" footer="0.31496062992125984"/>
  <pageSetup paperSize="9" orientation="portrait" horizontalDpi="300" verticalDpi="3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9" r:id="rId4" name="Drop Down 29">
              <controlPr defaultSize="0" autoFill="0" autoLine="0" autoPict="0">
                <anchor moveWithCells="1" sizeWithCells="1">
                  <from>
                    <xdr:col>6</xdr:col>
                    <xdr:colOff>0</xdr:colOff>
                    <xdr:row>4</xdr:row>
                    <xdr:rowOff>7620</xdr:rowOff>
                  </from>
                  <to>
                    <xdr:col>7</xdr:col>
                    <xdr:colOff>30480</xdr:colOff>
                    <xdr:row>5</xdr:row>
                    <xdr:rowOff>0</xdr:rowOff>
                  </to>
                </anchor>
              </controlPr>
            </control>
          </mc:Choice>
        </mc:AlternateContent>
        <mc:AlternateContent xmlns:mc="http://schemas.openxmlformats.org/markup-compatibility/2006">
          <mc:Choice Requires="x14">
            <control shapeId="10273" r:id="rId5" name="Drop Down 33">
              <controlPr defaultSize="0" autoFill="0" autoLine="0" autoPict="0">
                <anchor moveWithCells="1" sizeWithCells="1">
                  <from>
                    <xdr:col>6</xdr:col>
                    <xdr:colOff>0</xdr:colOff>
                    <xdr:row>5</xdr:row>
                    <xdr:rowOff>0</xdr:rowOff>
                  </from>
                  <to>
                    <xdr:col>7</xdr:col>
                    <xdr:colOff>30480</xdr:colOff>
                    <xdr:row>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DCFB-0B70-4EAC-B278-169C72CA7611}">
  <sheetPr codeName="Sheet3">
    <tabColor theme="4" tint="0.79998168889431442"/>
  </sheetPr>
  <dimension ref="B3:AD67"/>
  <sheetViews>
    <sheetView showGridLines="0" showRowColHeaders="0" zoomScaleNormal="100" workbookViewId="0"/>
  </sheetViews>
  <sheetFormatPr defaultColWidth="9.125" defaultRowHeight="12"/>
  <cols>
    <col min="1" max="1" width="3" style="25" customWidth="1"/>
    <col min="2" max="2" width="3.875" style="32" customWidth="1"/>
    <col min="3" max="3" width="2.75" style="25" bestFit="1" customWidth="1"/>
    <col min="4" max="4" width="23.125" style="25" customWidth="1"/>
    <col min="5" max="5" width="11.625" style="25" bestFit="1" customWidth="1"/>
    <col min="6" max="6" width="10" style="25" customWidth="1"/>
    <col min="7" max="7" width="17.25" style="25" bestFit="1" customWidth="1"/>
    <col min="8" max="8" width="11.25" style="25" customWidth="1"/>
    <col min="9" max="9" width="9.625" style="25" bestFit="1" customWidth="1"/>
    <col min="10" max="10" width="11.375" style="25" customWidth="1"/>
    <col min="11" max="11" width="7.625" style="25" bestFit="1" customWidth="1"/>
    <col min="12" max="13" width="9" style="25" customWidth="1"/>
    <col min="14" max="14" width="15.625" style="25" bestFit="1" customWidth="1"/>
    <col min="15" max="15" width="8" style="25" customWidth="1"/>
    <col min="16" max="16" width="7.625" style="25" bestFit="1" customWidth="1"/>
    <col min="17" max="20" width="9" style="25" bestFit="1" customWidth="1"/>
    <col min="21" max="21" width="5.625" style="25" bestFit="1" customWidth="1"/>
    <col min="22" max="22" width="6.125" style="25" bestFit="1" customWidth="1"/>
    <col min="23" max="23" width="6" style="25" bestFit="1" customWidth="1"/>
    <col min="24" max="24" width="11.625" style="25" bestFit="1" customWidth="1"/>
    <col min="25" max="25" width="7.125" style="25" bestFit="1" customWidth="1"/>
    <col min="26" max="26" width="7.625" style="25" bestFit="1" customWidth="1"/>
    <col min="27" max="27" width="8.125" style="25" bestFit="1" customWidth="1"/>
    <col min="28" max="28" width="5.75" style="25" customWidth="1"/>
    <col min="29" max="29" width="7.625" style="25" bestFit="1" customWidth="1"/>
    <col min="30" max="30" width="10.375" style="25" bestFit="1" customWidth="1"/>
    <col min="31" max="31" width="1.875" style="25" bestFit="1" customWidth="1"/>
    <col min="32" max="16384" width="9.125" style="25"/>
  </cols>
  <sheetData>
    <row r="3" spans="2:16">
      <c r="D3" s="25" t="s">
        <v>53</v>
      </c>
      <c r="E3" s="25">
        <f>+E23</f>
        <v>2026</v>
      </c>
      <c r="G3" s="181">
        <f>IF(YEAR('2'!G11)=E3,'2'!G11,EOMONTH('2'!G11,-1)+1)</f>
        <v>36526</v>
      </c>
      <c r="H3" s="31">
        <f>DATE(E3+1,1,1)</f>
        <v>46388</v>
      </c>
    </row>
    <row r="4" spans="2:16">
      <c r="D4" s="178" t="s">
        <v>54</v>
      </c>
      <c r="E4" s="179">
        <f>+'2'!G12</f>
        <v>36526</v>
      </c>
      <c r="G4" s="31"/>
      <c r="H4" s="31"/>
    </row>
    <row r="5" spans="2:16">
      <c r="D5" s="178" t="s">
        <v>250</v>
      </c>
      <c r="E5" s="179">
        <f>DATE(G5,G6,G7)</f>
        <v>36526</v>
      </c>
      <c r="G5" s="178">
        <f>YEAR(G3)</f>
        <v>2000</v>
      </c>
    </row>
    <row r="6" spans="2:16">
      <c r="D6" s="25" t="s">
        <v>55</v>
      </c>
      <c r="E6" s="25">
        <f>+'2'!G9</f>
        <v>0</v>
      </c>
      <c r="G6" s="178">
        <f>MONTH(G3)</f>
        <v>1</v>
      </c>
    </row>
    <row r="7" spans="2:16">
      <c r="D7" s="25" t="s">
        <v>56</v>
      </c>
      <c r="E7" s="25">
        <f>+'2'!G10</f>
        <v>0</v>
      </c>
      <c r="G7" s="180">
        <f>DAY(G3)</f>
        <v>1</v>
      </c>
    </row>
    <row r="8" spans="2:16">
      <c r="D8" s="25" t="s">
        <v>57</v>
      </c>
      <c r="E8" s="223">
        <f>IF('2'!G13&gt;0,'2'!G13,calc!H3)</f>
        <v>46388</v>
      </c>
    </row>
    <row r="9" spans="2:16">
      <c r="E9" s="224" t="s">
        <v>273</v>
      </c>
    </row>
    <row r="10" spans="2:16">
      <c r="B10" s="177">
        <v>7</v>
      </c>
      <c r="C10" s="26">
        <v>1</v>
      </c>
      <c r="D10" s="27" t="s">
        <v>4</v>
      </c>
    </row>
    <row r="11" spans="2:16">
      <c r="C11" s="26">
        <v>2</v>
      </c>
      <c r="D11" s="27" t="s">
        <v>41</v>
      </c>
    </row>
    <row r="12" spans="2:16">
      <c r="C12" s="26">
        <v>3</v>
      </c>
      <c r="D12" s="27" t="s">
        <v>42</v>
      </c>
    </row>
    <row r="13" spans="2:16">
      <c r="C13" s="26">
        <v>4</v>
      </c>
      <c r="D13" s="27" t="s">
        <v>5</v>
      </c>
    </row>
    <row r="14" spans="2:16" ht="12" customHeight="1">
      <c r="C14" s="26">
        <v>5</v>
      </c>
      <c r="D14" s="27" t="s">
        <v>43</v>
      </c>
    </row>
    <row r="15" spans="2:16">
      <c r="C15" s="26">
        <v>6</v>
      </c>
      <c r="D15" s="27" t="s">
        <v>44</v>
      </c>
    </row>
    <row r="16" spans="2:16">
      <c r="C16" s="26">
        <v>7</v>
      </c>
      <c r="D16" s="27" t="s">
        <v>21</v>
      </c>
      <c r="J16" s="25">
        <f>+J25/J24-1</f>
        <v>1.4285714285714235E-2</v>
      </c>
      <c r="K16" s="25">
        <f>+K25/K24-1</f>
        <v>1.7241379310344751E-2</v>
      </c>
      <c r="P16" s="25">
        <f>+P24/P25-1</f>
        <v>0</v>
      </c>
    </row>
    <row r="17" spans="2:30">
      <c r="C17" s="26">
        <v>8</v>
      </c>
      <c r="D17" s="27" t="s">
        <v>23</v>
      </c>
    </row>
    <row r="18" spans="2:30">
      <c r="C18" s="26">
        <v>9</v>
      </c>
      <c r="D18" s="27" t="s">
        <v>45</v>
      </c>
    </row>
    <row r="19" spans="2:30">
      <c r="C19" s="26">
        <v>10</v>
      </c>
      <c r="D19" s="27" t="s">
        <v>46</v>
      </c>
    </row>
    <row r="21" spans="2:30">
      <c r="J21" s="30" t="s">
        <v>25</v>
      </c>
      <c r="K21" s="30" t="s">
        <v>24</v>
      </c>
      <c r="L21" s="30" t="s">
        <v>25</v>
      </c>
      <c r="M21" s="30" t="s">
        <v>24</v>
      </c>
    </row>
    <row r="22" spans="2:30" ht="14.4">
      <c r="B22" s="177">
        <v>1</v>
      </c>
      <c r="D22" s="25" t="s">
        <v>66</v>
      </c>
      <c r="E22" s="26" t="s">
        <v>27</v>
      </c>
      <c r="F22" s="26" t="s">
        <v>47</v>
      </c>
      <c r="G22" s="26" t="s">
        <v>28</v>
      </c>
      <c r="H22" s="26" t="s">
        <v>38</v>
      </c>
      <c r="I22" s="26" t="s">
        <v>39</v>
      </c>
      <c r="J22" s="257" t="s">
        <v>31</v>
      </c>
      <c r="K22" s="257"/>
      <c r="L22" s="257" t="s">
        <v>79</v>
      </c>
      <c r="M22" s="257"/>
      <c r="N22" s="26" t="s">
        <v>40</v>
      </c>
      <c r="O22" s="26" t="s">
        <v>32</v>
      </c>
      <c r="P22" s="26" t="s">
        <v>72</v>
      </c>
      <c r="Q22" s="25" t="s">
        <v>60</v>
      </c>
      <c r="R22" s="25" t="s">
        <v>51</v>
      </c>
      <c r="S22" s="25" t="s">
        <v>61</v>
      </c>
      <c r="T22" s="25" t="s">
        <v>62</v>
      </c>
      <c r="U22" s="25" t="s">
        <v>52</v>
      </c>
      <c r="V22" s="25" t="s">
        <v>49</v>
      </c>
      <c r="W22" s="25" t="s">
        <v>63</v>
      </c>
      <c r="X22" s="25" t="s">
        <v>64</v>
      </c>
      <c r="Y22" s="25" t="s">
        <v>65</v>
      </c>
      <c r="Z22" s="25" t="s">
        <v>58</v>
      </c>
      <c r="AA22" s="25" t="s">
        <v>48</v>
      </c>
      <c r="AB22" s="25" t="s">
        <v>59</v>
      </c>
      <c r="AC22" s="25" t="s">
        <v>58</v>
      </c>
      <c r="AD22" s="25" t="s">
        <v>48</v>
      </c>
    </row>
    <row r="23" spans="2:30">
      <c r="D23" s="52" cm="1">
        <f t="array" ref="D23">INDEX(D24:D27,$B$22)</f>
        <v>1183</v>
      </c>
      <c r="E23" s="40" cm="1">
        <f t="array" ref="E23">INDEX(E24:E27,$B$22)</f>
        <v>2026</v>
      </c>
      <c r="F23" s="41" cm="1">
        <f t="array" ref="F23">INDEX(F24:F27,$B$22)</f>
        <v>5.5E-2</v>
      </c>
      <c r="G23" s="42" cm="1">
        <f t="array" ref="G23">INDEX(G24:G27,$B$22)</f>
        <v>1E-3</v>
      </c>
      <c r="H23" s="43" cm="1">
        <f t="array" ref="H23">INDEX(H24:H27,$B$22)</f>
        <v>0.04</v>
      </c>
      <c r="I23" s="43" cm="1">
        <f t="array" ref="I23">INDEX(I24:I27,$B$22)</f>
        <v>0.18</v>
      </c>
      <c r="J23" s="40" cm="1">
        <f t="array" ref="J23">INDEX(J24:J27,$B$22)</f>
        <v>70</v>
      </c>
      <c r="K23" s="40" cm="1">
        <f t="array" ref="K23">INDEX(K24:K27,$B$22)</f>
        <v>58</v>
      </c>
      <c r="L23" s="40" cm="1">
        <f t="array" ref="L23">INDEX(L24:L27,$B$22)</f>
        <v>205</v>
      </c>
      <c r="M23" s="40" cm="1">
        <f t="array" ref="M23">INDEX(M24:M27,$B$22)</f>
        <v>195</v>
      </c>
      <c r="N23" s="44" cm="1">
        <f t="array" ref="N23">INDEX(N24:N27,$B$22)</f>
        <v>1690</v>
      </c>
      <c r="O23" s="44" cm="1">
        <f t="array" ref="O23">INDEX(O24:O27,$B$22)</f>
        <v>1690</v>
      </c>
      <c r="P23" s="42" cm="1">
        <f t="array" ref="P23">INDEX(P24:P27,$B$22)</f>
        <v>0.04</v>
      </c>
      <c r="Q23" s="45" cm="1">
        <f t="array" ref="Q23">INDEX(Q24:Q27,$B$22)</f>
        <v>1690</v>
      </c>
      <c r="R23" s="46" cm="1">
        <f t="array" ref="R23">INDEX(R24:R27,$B$22)</f>
        <v>46023</v>
      </c>
      <c r="S23" s="46" cm="1">
        <f t="array" ref="S23">INDEX(S24:S27,$B$22)</f>
        <v>46023</v>
      </c>
      <c r="T23" s="46" cm="1">
        <f t="array" ref="T23">INDEX(T24:T27,$B$22)</f>
        <v>46387</v>
      </c>
      <c r="U23" s="47" cm="1">
        <f t="array" ref="U23">INDEX(U24:U27,$B$22)</f>
        <v>365</v>
      </c>
      <c r="V23" s="48" cm="1">
        <f t="array" ref="V23">INDEX(V24:V27,$B$22)</f>
        <v>365</v>
      </c>
      <c r="W23" s="47" cm="1">
        <f t="array" ref="W23">INDEX(W24:W27,$B$22)</f>
        <v>0</v>
      </c>
      <c r="X23" s="49" cm="1">
        <f t="array" ref="X23">INDEX(X24:X27,$B$22)</f>
        <v>365</v>
      </c>
      <c r="Y23" s="50" cm="1">
        <f t="array" ref="Y23">INDEX(Y24:Y27,$B$22)</f>
        <v>25</v>
      </c>
      <c r="Z23" s="51" cm="1">
        <f t="array" ref="Z23">INDEX(Z24:Z27,$B$22)</f>
        <v>0.7</v>
      </c>
      <c r="AA23" s="52" cm="1">
        <f t="array" ref="AA23">INDEX(AA24:AA27,$B$22)</f>
        <v>0</v>
      </c>
      <c r="AB23" s="50" cm="1">
        <f t="array" ref="AB23">INDEX(AB24:AB27,$B$22)</f>
        <v>26</v>
      </c>
      <c r="AC23" s="51" cm="1">
        <f t="array" ref="AC23">INDEX(AC24:AC27,$B$22)</f>
        <v>0.7</v>
      </c>
      <c r="AD23" s="52" cm="1">
        <f t="array" ref="AD23">INDEX(AD24:AD27,$B$22)</f>
        <v>1183</v>
      </c>
    </row>
    <row r="24" spans="2:30">
      <c r="D24" s="39">
        <f>+AD24+AA24</f>
        <v>1183</v>
      </c>
      <c r="E24" s="183">
        <v>2026</v>
      </c>
      <c r="F24" s="76">
        <v>5.5E-2</v>
      </c>
      <c r="G24" s="77">
        <v>1E-3</v>
      </c>
      <c r="H24" s="78">
        <v>0.04</v>
      </c>
      <c r="I24" s="78">
        <v>0.18</v>
      </c>
      <c r="J24" s="183">
        <v>70</v>
      </c>
      <c r="K24" s="183">
        <v>58</v>
      </c>
      <c r="L24" s="75">
        <v>205</v>
      </c>
      <c r="M24" s="75">
        <v>195</v>
      </c>
      <c r="N24" s="184">
        <v>1690</v>
      </c>
      <c r="O24" s="28">
        <f>+N24*V24/U24</f>
        <v>1690</v>
      </c>
      <c r="P24" s="53">
        <f>MIN(I24,MAX(H24,F24+($E$6-IF($B$10&lt;4,K24,J24))*G24))</f>
        <v>0.04</v>
      </c>
      <c r="Q24" s="29">
        <f>MAX(N24,MIN(I24,MAX(H24,F24+($E$6-IF($B$10&lt;4,K24,J24))*G24))*$E$7*6/7)</f>
        <v>1690</v>
      </c>
      <c r="R24" s="31">
        <f>MAX($E$5,DATE(E24,$G$6,$G$7))</f>
        <v>46023</v>
      </c>
      <c r="S24" s="182">
        <f>IF(YEAR($E$4)=E24,$E$4,DATE(E24,1,1))</f>
        <v>46023</v>
      </c>
      <c r="T24" s="31">
        <f>MIN($E$8-1,DATE(E24,12,31))</f>
        <v>46387</v>
      </c>
      <c r="U24" s="37">
        <f>_xlfn.DAYS(DATE(E24,12,31),DATE(E24,1,1))+1</f>
        <v>365</v>
      </c>
      <c r="V24" s="36">
        <f>_xlfn.DAYS(T24,S24)+1</f>
        <v>365</v>
      </c>
      <c r="W24" s="37">
        <f>MAX(0,MIN(V24,_xlfn.DAYS(R24,S24)))</f>
        <v>0</v>
      </c>
      <c r="X24" s="38">
        <f>MAX(0,_xlfn.DAYS(T24,R24)+1)</f>
        <v>365</v>
      </c>
      <c r="Y24" s="25">
        <f>MAX(0,IF(E24&lt;$G$5,0,YEARFRAC(R24,$E$5))-1)</f>
        <v>25</v>
      </c>
      <c r="Z24" s="33">
        <f>MAX(70%,100%-Y24*6%)</f>
        <v>0.7</v>
      </c>
      <c r="AA24" s="39">
        <f>+Q24*W24/U24*Z24</f>
        <v>0</v>
      </c>
      <c r="AB24" s="25">
        <f>IF(E24&lt;$G$5,0,YEARFRAC(R24,$E$5))</f>
        <v>26</v>
      </c>
      <c r="AC24" s="33">
        <f>MAX(70%,100%-AB24*6%)</f>
        <v>0.7</v>
      </c>
      <c r="AD24" s="39">
        <f>+Q24*X24/U24*AC24</f>
        <v>1183</v>
      </c>
    </row>
    <row r="25" spans="2:30">
      <c r="D25" s="39">
        <f>+AD25+AA25</f>
        <v>1155</v>
      </c>
      <c r="E25" s="183">
        <v>2025</v>
      </c>
      <c r="F25" s="76">
        <v>5.5E-2</v>
      </c>
      <c r="G25" s="77">
        <v>1E-3</v>
      </c>
      <c r="H25" s="78">
        <v>0.04</v>
      </c>
      <c r="I25" s="78">
        <v>0.18</v>
      </c>
      <c r="J25" s="183">
        <v>71</v>
      </c>
      <c r="K25" s="183">
        <v>59</v>
      </c>
      <c r="L25" s="75">
        <v>205</v>
      </c>
      <c r="M25" s="75">
        <v>195</v>
      </c>
      <c r="N25" s="184">
        <v>1650</v>
      </c>
      <c r="O25" s="28">
        <f>+N25*V25/U25</f>
        <v>1650</v>
      </c>
      <c r="P25" s="53">
        <f>MIN(I25,MAX(H25,F25+($E$6-IF($B$10&lt;4,K25,J25))*G25))</f>
        <v>0.04</v>
      </c>
      <c r="Q25" s="29">
        <f>MAX(N25,MIN(I25,MAX(H25,F25+($E$6-IF($B$10&lt;4,K25,J25))*G25))*$E$7*6/7)</f>
        <v>1650</v>
      </c>
      <c r="R25" s="31">
        <f>MAX($E$5,DATE(E25,$G$6,$G$7))</f>
        <v>45658</v>
      </c>
      <c r="S25" s="182">
        <f t="shared" ref="S25:S27" si="0">IF(YEAR($E$4)=E25,$E$4,DATE(E25,1,1))</f>
        <v>45658</v>
      </c>
      <c r="T25" s="31">
        <f>MIN($E$8-1,DATE(E25,12,31))</f>
        <v>46022</v>
      </c>
      <c r="U25" s="37">
        <f>_xlfn.DAYS(DATE(E25,12,31),DATE(E25,1,1))+1</f>
        <v>365</v>
      </c>
      <c r="V25" s="36">
        <f>_xlfn.DAYS(T25,S25)+1</f>
        <v>365</v>
      </c>
      <c r="W25" s="37">
        <f>MAX(0,MIN(V25,_xlfn.DAYS(R25,S25)))</f>
        <v>0</v>
      </c>
      <c r="X25" s="38">
        <f>MAX(0,_xlfn.DAYS(T25,R25)+1)</f>
        <v>365</v>
      </c>
      <c r="Y25" s="25">
        <f>MAX(0,IF(E25&lt;$G$5,0,YEARFRAC(R25,$E$5))-1)</f>
        <v>24</v>
      </c>
      <c r="Z25" s="33">
        <f>MAX(70%,100%-Y25*6%)</f>
        <v>0.7</v>
      </c>
      <c r="AA25" s="39">
        <f>+Q25*W25/U25*Z25</f>
        <v>0</v>
      </c>
      <c r="AB25" s="25">
        <f>IF(E25&lt;$G$5,0,YEARFRAC(R25,$E$5))</f>
        <v>25</v>
      </c>
      <c r="AC25" s="33">
        <f>MAX(70%,100%-AB25*6%)</f>
        <v>0.7</v>
      </c>
      <c r="AD25" s="39">
        <f>+Q25*X25/U25*AC25</f>
        <v>1155</v>
      </c>
    </row>
    <row r="26" spans="2:30">
      <c r="D26" s="39">
        <f>+AD26+AA26</f>
        <v>1120</v>
      </c>
      <c r="E26" s="183">
        <v>2024</v>
      </c>
      <c r="F26" s="76">
        <v>5.5E-2</v>
      </c>
      <c r="G26" s="77">
        <v>1E-3</v>
      </c>
      <c r="H26" s="78">
        <v>0.04</v>
      </c>
      <c r="I26" s="78">
        <v>0.18</v>
      </c>
      <c r="J26" s="183">
        <v>78</v>
      </c>
      <c r="K26" s="183">
        <v>65</v>
      </c>
      <c r="L26" s="75">
        <v>205</v>
      </c>
      <c r="M26" s="75">
        <v>195</v>
      </c>
      <c r="N26" s="184">
        <v>1600</v>
      </c>
      <c r="O26" s="28">
        <f>+N26*V26/U26</f>
        <v>1600</v>
      </c>
      <c r="P26" s="53">
        <f>MIN(I26,MAX(H26,F26+($E$6-IF($B$10&lt;4,K26,J26))*G26))</f>
        <v>0.04</v>
      </c>
      <c r="Q26" s="29">
        <f>MAX(N26,MIN(I26,MAX(H26,F26+($E$6-IF($B$10&lt;4,K26,J26))*G26))*$E$7*6/7)</f>
        <v>1600</v>
      </c>
      <c r="R26" s="31">
        <f>MAX($E$5,DATE(E26,$G$6,$G$7))</f>
        <v>45292</v>
      </c>
      <c r="S26" s="182">
        <f t="shared" si="0"/>
        <v>45292</v>
      </c>
      <c r="T26" s="31">
        <f>MIN($E$8-1,DATE(E26,12,31))</f>
        <v>45657</v>
      </c>
      <c r="U26" s="37">
        <f>_xlfn.DAYS(DATE(E26,12,31),DATE(E26,1,1))+1</f>
        <v>366</v>
      </c>
      <c r="V26" s="36">
        <f>_xlfn.DAYS(T26,S26)+1</f>
        <v>366</v>
      </c>
      <c r="W26" s="37">
        <f>MAX(0,MIN(V26,_xlfn.DAYS(R26,S26)))</f>
        <v>0</v>
      </c>
      <c r="X26" s="38">
        <f>MAX(0,_xlfn.DAYS(T26,R26)+1)</f>
        <v>366</v>
      </c>
      <c r="Y26" s="25">
        <f>MAX(0,IF(E26&lt;$G$5,0,YEARFRAC(R26,$E$5))-1)</f>
        <v>23</v>
      </c>
      <c r="Z26" s="33">
        <f>MAX(70%,100%-Y26*6%)</f>
        <v>0.7</v>
      </c>
      <c r="AA26" s="39">
        <f>+Q26*W26/U26*Z26</f>
        <v>0</v>
      </c>
      <c r="AB26" s="25">
        <f>IF(E26&lt;$G$5,0,YEARFRAC(R26,$E$5))</f>
        <v>24</v>
      </c>
      <c r="AC26" s="33">
        <f>MAX(70%,100%-AB26*6%)</f>
        <v>0.7</v>
      </c>
      <c r="AD26" s="39">
        <f>+Q26*X26/U26*AC26</f>
        <v>1120</v>
      </c>
    </row>
    <row r="27" spans="2:30">
      <c r="D27" s="39">
        <f>+AD27+AA27</f>
        <v>1078</v>
      </c>
      <c r="E27" s="183">
        <v>2023</v>
      </c>
      <c r="F27" s="76">
        <v>5.5E-2</v>
      </c>
      <c r="G27" s="77">
        <v>1E-3</v>
      </c>
      <c r="H27" s="78">
        <v>0.04</v>
      </c>
      <c r="I27" s="78">
        <v>0.18</v>
      </c>
      <c r="J27" s="183">
        <v>82</v>
      </c>
      <c r="K27" s="183">
        <v>67</v>
      </c>
      <c r="L27" s="75">
        <v>205</v>
      </c>
      <c r="M27" s="75">
        <v>195</v>
      </c>
      <c r="N27" s="184">
        <v>1540</v>
      </c>
      <c r="O27" s="28">
        <f>+N27*V27/U27</f>
        <v>1540</v>
      </c>
      <c r="P27" s="53">
        <f>MIN(I27,MAX(H27,F27+($E$6-IF($B$10&lt;4,K27,J27))*G27))</f>
        <v>0.04</v>
      </c>
      <c r="Q27" s="29">
        <f>MAX(N27,MIN(I27,MAX(H27,F27+($E$6-IF($B$10&lt;4,K27,J27))*G27))*$E$7*6/7)</f>
        <v>1540</v>
      </c>
      <c r="R27" s="31">
        <f>MAX($E$5,DATE(E27,$G$6,$G$7))</f>
        <v>44927</v>
      </c>
      <c r="S27" s="182">
        <f t="shared" si="0"/>
        <v>44927</v>
      </c>
      <c r="T27" s="31">
        <f>MIN($E$8-1,DATE(E27,12,31))</f>
        <v>45291</v>
      </c>
      <c r="U27" s="37">
        <f>_xlfn.DAYS(DATE(E27,12,31),DATE(E27,1,1))+1</f>
        <v>365</v>
      </c>
      <c r="V27" s="36">
        <f>_xlfn.DAYS(T27,S27)+1</f>
        <v>365</v>
      </c>
      <c r="W27" s="37">
        <f>MAX(0,MIN(V27,_xlfn.DAYS(R27,S27)))</f>
        <v>0</v>
      </c>
      <c r="X27" s="38">
        <f>MAX(0,_xlfn.DAYS(T27,R27)+1)</f>
        <v>365</v>
      </c>
      <c r="Y27" s="25">
        <f>MAX(0,IF(E27&lt;$G$5,0,YEARFRAC(R27,$E$5))-1)</f>
        <v>22</v>
      </c>
      <c r="Z27" s="33">
        <f>MAX(70%,100%-Y27*6%)</f>
        <v>0.7</v>
      </c>
      <c r="AA27" s="39">
        <f>+Q27*W27/U27*Z27</f>
        <v>0</v>
      </c>
      <c r="AB27" s="25">
        <f>IF(E27&lt;$G$5,0,YEARFRAC(R27,$E$5))</f>
        <v>23</v>
      </c>
      <c r="AC27" s="33">
        <f>MAX(70%,100%-AB27*6%)</f>
        <v>0.7</v>
      </c>
      <c r="AD27" s="39">
        <f>+Q27*X27/U27*AC27</f>
        <v>1078</v>
      </c>
    </row>
    <row r="28" spans="2:30">
      <c r="U28" s="36"/>
    </row>
    <row r="30" spans="2:30">
      <c r="E30" s="25" t="s">
        <v>74</v>
      </c>
      <c r="F30" s="25" t="s">
        <v>75</v>
      </c>
      <c r="G30" s="25" t="s">
        <v>49</v>
      </c>
      <c r="H30" s="25" t="s">
        <v>63</v>
      </c>
      <c r="I30" s="25" t="s">
        <v>76</v>
      </c>
      <c r="J30" s="25" t="s">
        <v>77</v>
      </c>
      <c r="K30" s="25" t="s">
        <v>78</v>
      </c>
      <c r="L30" s="25" t="s">
        <v>86</v>
      </c>
      <c r="M30" s="25" t="s">
        <v>50</v>
      </c>
      <c r="N30" s="25" t="s">
        <v>239</v>
      </c>
      <c r="O30" s="25" t="s">
        <v>48</v>
      </c>
    </row>
    <row r="31" spans="2:30">
      <c r="D31" s="25">
        <v>1</v>
      </c>
      <c r="E31" s="179">
        <f t="shared" ref="E31:E42" si="1">MIN($E$8,MAX($E$4,DATE($E$23,D31,1)))</f>
        <v>46023</v>
      </c>
      <c r="F31" s="179">
        <f t="shared" ref="F31:F42" si="2">MAX($E$4-1,MIN($E$8-1,EOMONTH(DATE($E$23,D31,1),0)))</f>
        <v>46053</v>
      </c>
      <c r="G31" s="37">
        <f>MAX(0,_xlfn.DAYS(F31,E31)+1)</f>
        <v>31</v>
      </c>
      <c r="H31" s="66">
        <f t="shared" ref="H31:H42" si="3">MAX(0,_xlfn.DAYS(MIN($R$23-1,F31),E31)+1)</f>
        <v>0</v>
      </c>
      <c r="I31" s="66">
        <f t="shared" ref="I31:I42" si="4">MAX(0,_xlfn.DAYS(F31,MAX(E31,$R$23)-1))</f>
        <v>31</v>
      </c>
      <c r="J31" s="33">
        <f>+Z23</f>
        <v>0.7</v>
      </c>
      <c r="K31" s="33">
        <f>+AC23</f>
        <v>0.7</v>
      </c>
      <c r="L31" s="34">
        <f t="shared" ref="L31:L41" si="5">+G31/$G$43*$O$23</f>
        <v>143.53424657534245</v>
      </c>
      <c r="M31" s="35">
        <f>(J31*H31+I31*K31)/(H31+I31)</f>
        <v>0.7</v>
      </c>
      <c r="N31" s="25">
        <f>IF(L31=0,0,+'2'!$G$14)</f>
        <v>0</v>
      </c>
      <c r="O31" s="39">
        <f>MAX(0,MAX(L31,+H31/$U$23*J31*$Q$23+I31/$U$23*K31*$Q$23)-N31)</f>
        <v>143.53424657534245</v>
      </c>
    </row>
    <row r="32" spans="2:30">
      <c r="D32" s="25">
        <v>2</v>
      </c>
      <c r="E32" s="179">
        <f t="shared" si="1"/>
        <v>46054</v>
      </c>
      <c r="F32" s="179">
        <f t="shared" si="2"/>
        <v>46081</v>
      </c>
      <c r="G32" s="37">
        <f>MAX(0,_xlfn.DAYS(F32,E32)+1)</f>
        <v>28</v>
      </c>
      <c r="H32" s="66">
        <f t="shared" si="3"/>
        <v>0</v>
      </c>
      <c r="I32" s="66">
        <f t="shared" si="4"/>
        <v>28</v>
      </c>
      <c r="J32" s="33">
        <f>+J31</f>
        <v>0.7</v>
      </c>
      <c r="K32" s="33">
        <f>+K31</f>
        <v>0.7</v>
      </c>
      <c r="L32" s="34">
        <f>+G32/$G$43*$O$23</f>
        <v>129.64383561643837</v>
      </c>
      <c r="M32" s="35">
        <f t="shared" ref="M32:M42" si="6">(J32*H32+I32*K32)/(H32+I32)</f>
        <v>0.7</v>
      </c>
      <c r="N32" s="25">
        <f>IF(L32=0,0,+'2'!$G$14)</f>
        <v>0</v>
      </c>
      <c r="O32" s="39">
        <f>MAX(0,MAX(L32,+H32/$U$23*J32*$Q$23+I32/$U$23*K32*$Q$23)-N32)</f>
        <v>129.64383561643837</v>
      </c>
    </row>
    <row r="33" spans="4:15">
      <c r="D33" s="25">
        <v>3</v>
      </c>
      <c r="E33" s="179">
        <f t="shared" si="1"/>
        <v>46082</v>
      </c>
      <c r="F33" s="179">
        <f t="shared" si="2"/>
        <v>46112</v>
      </c>
      <c r="G33" s="37">
        <f t="shared" ref="G33:G42" si="7">MAX(0,_xlfn.DAYS(F33,E33)+1)</f>
        <v>31</v>
      </c>
      <c r="H33" s="66">
        <f t="shared" si="3"/>
        <v>0</v>
      </c>
      <c r="I33" s="66">
        <f t="shared" si="4"/>
        <v>31</v>
      </c>
      <c r="J33" s="33">
        <f t="shared" ref="J33:J42" si="8">+J32</f>
        <v>0.7</v>
      </c>
      <c r="K33" s="33">
        <f t="shared" ref="K33:K42" si="9">+K32</f>
        <v>0.7</v>
      </c>
      <c r="L33" s="34">
        <f t="shared" si="5"/>
        <v>143.53424657534245</v>
      </c>
      <c r="M33" s="35">
        <f t="shared" si="6"/>
        <v>0.7</v>
      </c>
      <c r="N33" s="25">
        <f>IF(L33=0,0,+'2'!$G$14)</f>
        <v>0</v>
      </c>
      <c r="O33" s="39">
        <f t="shared" ref="O33:O42" si="10">MAX(0,MAX(L33,+H33/$U$23*J33*$Q$23+I33/$U$23*K33*$Q$23)-N33)</f>
        <v>143.53424657534245</v>
      </c>
    </row>
    <row r="34" spans="4:15">
      <c r="D34" s="25">
        <v>4</v>
      </c>
      <c r="E34" s="179">
        <f t="shared" si="1"/>
        <v>46113</v>
      </c>
      <c r="F34" s="179">
        <f t="shared" si="2"/>
        <v>46142</v>
      </c>
      <c r="G34" s="37">
        <f t="shared" si="7"/>
        <v>30</v>
      </c>
      <c r="H34" s="66">
        <f t="shared" si="3"/>
        <v>0</v>
      </c>
      <c r="I34" s="66">
        <f t="shared" si="4"/>
        <v>30</v>
      </c>
      <c r="J34" s="33">
        <f t="shared" si="8"/>
        <v>0.7</v>
      </c>
      <c r="K34" s="33">
        <f t="shared" si="9"/>
        <v>0.7</v>
      </c>
      <c r="L34" s="34">
        <f t="shared" si="5"/>
        <v>138.9041095890411</v>
      </c>
      <c r="M34" s="35">
        <f t="shared" si="6"/>
        <v>0.7</v>
      </c>
      <c r="N34" s="25">
        <f>IF(L34=0,0,+'2'!$G$14)</f>
        <v>0</v>
      </c>
      <c r="O34" s="39">
        <f t="shared" si="10"/>
        <v>138.9041095890411</v>
      </c>
    </row>
    <row r="35" spans="4:15">
      <c r="D35" s="25">
        <v>5</v>
      </c>
      <c r="E35" s="179">
        <f t="shared" si="1"/>
        <v>46143</v>
      </c>
      <c r="F35" s="179">
        <f t="shared" si="2"/>
        <v>46173</v>
      </c>
      <c r="G35" s="37">
        <f t="shared" si="7"/>
        <v>31</v>
      </c>
      <c r="H35" s="66">
        <f t="shared" si="3"/>
        <v>0</v>
      </c>
      <c r="I35" s="66">
        <f t="shared" si="4"/>
        <v>31</v>
      </c>
      <c r="J35" s="33">
        <f t="shared" si="8"/>
        <v>0.7</v>
      </c>
      <c r="K35" s="33">
        <f t="shared" si="9"/>
        <v>0.7</v>
      </c>
      <c r="L35" s="34">
        <f t="shared" si="5"/>
        <v>143.53424657534245</v>
      </c>
      <c r="M35" s="35">
        <f t="shared" si="6"/>
        <v>0.7</v>
      </c>
      <c r="N35" s="25">
        <f>IF(L35=0,0,+'2'!$G$14)</f>
        <v>0</v>
      </c>
      <c r="O35" s="39">
        <f t="shared" si="10"/>
        <v>143.53424657534245</v>
      </c>
    </row>
    <row r="36" spans="4:15">
      <c r="D36" s="25">
        <v>6</v>
      </c>
      <c r="E36" s="179">
        <f t="shared" si="1"/>
        <v>46174</v>
      </c>
      <c r="F36" s="179">
        <f t="shared" si="2"/>
        <v>46203</v>
      </c>
      <c r="G36" s="37">
        <f t="shared" si="7"/>
        <v>30</v>
      </c>
      <c r="H36" s="66">
        <f t="shared" si="3"/>
        <v>0</v>
      </c>
      <c r="I36" s="66">
        <f t="shared" si="4"/>
        <v>30</v>
      </c>
      <c r="J36" s="33">
        <f t="shared" si="8"/>
        <v>0.7</v>
      </c>
      <c r="K36" s="33">
        <f t="shared" si="9"/>
        <v>0.7</v>
      </c>
      <c r="L36" s="34">
        <f t="shared" si="5"/>
        <v>138.9041095890411</v>
      </c>
      <c r="M36" s="35">
        <f t="shared" si="6"/>
        <v>0.7</v>
      </c>
      <c r="N36" s="25">
        <f>IF(L36=0,0,+'2'!$G$14)</f>
        <v>0</v>
      </c>
      <c r="O36" s="39">
        <f t="shared" si="10"/>
        <v>138.9041095890411</v>
      </c>
    </row>
    <row r="37" spans="4:15">
      <c r="D37" s="25">
        <v>7</v>
      </c>
      <c r="E37" s="179">
        <f t="shared" si="1"/>
        <v>46204</v>
      </c>
      <c r="F37" s="179">
        <f t="shared" si="2"/>
        <v>46234</v>
      </c>
      <c r="G37" s="37">
        <f t="shared" si="7"/>
        <v>31</v>
      </c>
      <c r="H37" s="66">
        <f t="shared" si="3"/>
        <v>0</v>
      </c>
      <c r="I37" s="66">
        <f t="shared" si="4"/>
        <v>31</v>
      </c>
      <c r="J37" s="33">
        <f t="shared" si="8"/>
        <v>0.7</v>
      </c>
      <c r="K37" s="33">
        <f t="shared" si="9"/>
        <v>0.7</v>
      </c>
      <c r="L37" s="34">
        <f t="shared" si="5"/>
        <v>143.53424657534245</v>
      </c>
      <c r="M37" s="35">
        <f t="shared" si="6"/>
        <v>0.7</v>
      </c>
      <c r="N37" s="25">
        <f>IF(L37=0,0,+'2'!$G$14)</f>
        <v>0</v>
      </c>
      <c r="O37" s="39">
        <f t="shared" si="10"/>
        <v>143.53424657534245</v>
      </c>
    </row>
    <row r="38" spans="4:15">
      <c r="D38" s="25">
        <v>8</v>
      </c>
      <c r="E38" s="179">
        <f t="shared" si="1"/>
        <v>46235</v>
      </c>
      <c r="F38" s="179">
        <f t="shared" si="2"/>
        <v>46265</v>
      </c>
      <c r="G38" s="37">
        <f t="shared" si="7"/>
        <v>31</v>
      </c>
      <c r="H38" s="66">
        <f t="shared" si="3"/>
        <v>0</v>
      </c>
      <c r="I38" s="66">
        <f t="shared" si="4"/>
        <v>31</v>
      </c>
      <c r="J38" s="33">
        <f t="shared" si="8"/>
        <v>0.7</v>
      </c>
      <c r="K38" s="33">
        <f t="shared" si="9"/>
        <v>0.7</v>
      </c>
      <c r="L38" s="34">
        <f t="shared" si="5"/>
        <v>143.53424657534245</v>
      </c>
      <c r="M38" s="35">
        <f t="shared" si="6"/>
        <v>0.7</v>
      </c>
      <c r="N38" s="25">
        <f>IF(L38=0,0,+'2'!$G$14)</f>
        <v>0</v>
      </c>
      <c r="O38" s="39">
        <f t="shared" si="10"/>
        <v>143.53424657534245</v>
      </c>
    </row>
    <row r="39" spans="4:15">
      <c r="D39" s="25">
        <v>9</v>
      </c>
      <c r="E39" s="179">
        <f t="shared" si="1"/>
        <v>46266</v>
      </c>
      <c r="F39" s="179">
        <f t="shared" si="2"/>
        <v>46295</v>
      </c>
      <c r="G39" s="37">
        <f t="shared" si="7"/>
        <v>30</v>
      </c>
      <c r="H39" s="66">
        <f t="shared" si="3"/>
        <v>0</v>
      </c>
      <c r="I39" s="66">
        <f t="shared" si="4"/>
        <v>30</v>
      </c>
      <c r="J39" s="33">
        <f t="shared" si="8"/>
        <v>0.7</v>
      </c>
      <c r="K39" s="33">
        <f t="shared" si="9"/>
        <v>0.7</v>
      </c>
      <c r="L39" s="34">
        <f t="shared" si="5"/>
        <v>138.9041095890411</v>
      </c>
      <c r="M39" s="35">
        <f t="shared" si="6"/>
        <v>0.7</v>
      </c>
      <c r="N39" s="25">
        <f>IF(L39=0,0,+'2'!$G$14)</f>
        <v>0</v>
      </c>
      <c r="O39" s="39">
        <f t="shared" si="10"/>
        <v>138.9041095890411</v>
      </c>
    </row>
    <row r="40" spans="4:15">
      <c r="D40" s="25">
        <v>10</v>
      </c>
      <c r="E40" s="179">
        <f t="shared" si="1"/>
        <v>46296</v>
      </c>
      <c r="F40" s="179">
        <f t="shared" si="2"/>
        <v>46326</v>
      </c>
      <c r="G40" s="37">
        <f t="shared" si="7"/>
        <v>31</v>
      </c>
      <c r="H40" s="66">
        <f t="shared" si="3"/>
        <v>0</v>
      </c>
      <c r="I40" s="66">
        <f t="shared" si="4"/>
        <v>31</v>
      </c>
      <c r="J40" s="33">
        <f t="shared" si="8"/>
        <v>0.7</v>
      </c>
      <c r="K40" s="33">
        <f t="shared" si="9"/>
        <v>0.7</v>
      </c>
      <c r="L40" s="34">
        <f t="shared" si="5"/>
        <v>143.53424657534245</v>
      </c>
      <c r="M40" s="35">
        <f t="shared" si="6"/>
        <v>0.7</v>
      </c>
      <c r="N40" s="25">
        <f>IF(L40=0,0,+'2'!$G$14)</f>
        <v>0</v>
      </c>
      <c r="O40" s="39">
        <f t="shared" si="10"/>
        <v>143.53424657534245</v>
      </c>
    </row>
    <row r="41" spans="4:15">
      <c r="D41" s="25">
        <v>11</v>
      </c>
      <c r="E41" s="179">
        <f t="shared" si="1"/>
        <v>46327</v>
      </c>
      <c r="F41" s="179">
        <f t="shared" si="2"/>
        <v>46356</v>
      </c>
      <c r="G41" s="37">
        <f t="shared" si="7"/>
        <v>30</v>
      </c>
      <c r="H41" s="66">
        <f t="shared" si="3"/>
        <v>0</v>
      </c>
      <c r="I41" s="66">
        <f t="shared" si="4"/>
        <v>30</v>
      </c>
      <c r="J41" s="33">
        <f t="shared" si="8"/>
        <v>0.7</v>
      </c>
      <c r="K41" s="33">
        <f t="shared" si="9"/>
        <v>0.7</v>
      </c>
      <c r="L41" s="34">
        <f t="shared" si="5"/>
        <v>138.9041095890411</v>
      </c>
      <c r="M41" s="35">
        <f t="shared" si="6"/>
        <v>0.7</v>
      </c>
      <c r="N41" s="25">
        <f>IF(L41=0,0,+'2'!$G$14)</f>
        <v>0</v>
      </c>
      <c r="O41" s="39">
        <f t="shared" si="10"/>
        <v>138.9041095890411</v>
      </c>
    </row>
    <row r="42" spans="4:15">
      <c r="D42" s="25">
        <v>12</v>
      </c>
      <c r="E42" s="179">
        <f t="shared" si="1"/>
        <v>46357</v>
      </c>
      <c r="F42" s="179">
        <f t="shared" si="2"/>
        <v>46387</v>
      </c>
      <c r="G42" s="37">
        <f t="shared" si="7"/>
        <v>31</v>
      </c>
      <c r="H42" s="66">
        <f t="shared" si="3"/>
        <v>0</v>
      </c>
      <c r="I42" s="66">
        <f t="shared" si="4"/>
        <v>31</v>
      </c>
      <c r="J42" s="33">
        <f t="shared" si="8"/>
        <v>0.7</v>
      </c>
      <c r="K42" s="33">
        <f t="shared" si="9"/>
        <v>0.7</v>
      </c>
      <c r="L42" s="34">
        <f>+G42/$G$43*$O$23</f>
        <v>143.53424657534245</v>
      </c>
      <c r="M42" s="35">
        <f t="shared" si="6"/>
        <v>0.7</v>
      </c>
      <c r="N42" s="25">
        <f>IF(L42=0,0,+'2'!$G$14)</f>
        <v>0</v>
      </c>
      <c r="O42" s="39">
        <f t="shared" si="10"/>
        <v>143.53424657534245</v>
      </c>
    </row>
    <row r="43" spans="4:15">
      <c r="G43" s="37">
        <f>SUM(G31:G42)</f>
        <v>365</v>
      </c>
      <c r="H43" s="37">
        <f>SUM(H31:H42)</f>
        <v>0</v>
      </c>
      <c r="I43" s="37">
        <f>SUM(I31:I42)</f>
        <v>365</v>
      </c>
      <c r="L43" s="39">
        <f>SUM(L31:L42)</f>
        <v>1690</v>
      </c>
      <c r="M43" s="39"/>
      <c r="N43" s="39">
        <f>SUM(N31:N42)</f>
        <v>0</v>
      </c>
      <c r="O43" s="39">
        <f>SUM(O31:O42)</f>
        <v>1690</v>
      </c>
    </row>
    <row r="44" spans="4:15">
      <c r="L44" s="39">
        <f>+L43-O43</f>
        <v>0</v>
      </c>
    </row>
    <row r="49" spans="5:13">
      <c r="E49" s="10"/>
      <c r="F49" s="10"/>
      <c r="G49" s="10"/>
      <c r="H49" s="6"/>
      <c r="I49" s="7"/>
      <c r="J49" s="7"/>
      <c r="K49" s="7"/>
      <c r="L49" s="7"/>
      <c r="M49" s="7"/>
    </row>
    <row r="50" spans="5:13">
      <c r="E50" s="10"/>
      <c r="F50" s="10"/>
      <c r="G50" s="10"/>
      <c r="H50" s="6"/>
      <c r="I50" s="7"/>
      <c r="J50" s="7"/>
      <c r="K50" s="7"/>
      <c r="L50" s="7"/>
      <c r="M50" s="7"/>
    </row>
    <row r="51" spans="5:13">
      <c r="E51" s="10"/>
      <c r="F51" s="10"/>
      <c r="G51" s="10"/>
      <c r="H51" s="188">
        <f>+F53*0.94/F54-1</f>
        <v>-5.9999999999999942E-2</v>
      </c>
      <c r="I51" s="7"/>
      <c r="J51" s="7"/>
      <c r="K51" s="7"/>
      <c r="L51" s="7"/>
      <c r="M51" s="7"/>
    </row>
    <row r="52" spans="5:13">
      <c r="E52" s="10"/>
      <c r="F52" s="188">
        <f>+F53/F54-1</f>
        <v>0</v>
      </c>
      <c r="G52" s="188" t="e">
        <f>+G53/G54-1</f>
        <v>#DIV/0!</v>
      </c>
      <c r="H52" s="188">
        <f>+H53/H54-1</f>
        <v>6.25E-2</v>
      </c>
      <c r="I52" s="7"/>
      <c r="J52" s="7"/>
      <c r="K52" s="7"/>
      <c r="L52" s="7"/>
      <c r="M52" s="7"/>
    </row>
    <row r="53" spans="5:13">
      <c r="E53" s="10">
        <v>2025</v>
      </c>
      <c r="F53" s="185">
        <f>+calc!P24</f>
        <v>0.04</v>
      </c>
      <c r="G53" s="186">
        <f>MAX(calc!X20,+'2'!$G$10*F53*0.857142857142857)</f>
        <v>0</v>
      </c>
      <c r="H53" s="187">
        <f>MAX(1700,+G53*0.94)</f>
        <v>1700</v>
      </c>
      <c r="I53" s="7"/>
      <c r="J53" s="7"/>
      <c r="K53" s="7"/>
      <c r="L53" s="7"/>
      <c r="M53" s="7"/>
    </row>
    <row r="54" spans="5:13">
      <c r="E54" s="10">
        <v>2024</v>
      </c>
      <c r="F54" s="185">
        <f>+calc!P25</f>
        <v>0.04</v>
      </c>
      <c r="G54" s="186">
        <f>MAX(calc!X21,+'2'!$G$10*F54*0.857142857142857)</f>
        <v>0</v>
      </c>
      <c r="H54" s="187">
        <f>MAX(1600,G54)</f>
        <v>1600</v>
      </c>
      <c r="I54" s="7"/>
      <c r="J54" s="7"/>
      <c r="K54" s="7"/>
      <c r="L54" s="7"/>
      <c r="M54" s="7"/>
    </row>
    <row r="55" spans="5:13">
      <c r="E55" s="10">
        <v>2023</v>
      </c>
      <c r="F55" s="185">
        <f>+calc!P26</f>
        <v>0.04</v>
      </c>
      <c r="G55" s="186">
        <f>MAX(calc!X22,+'2'!$G$10*F55*0.857142857142857)</f>
        <v>0</v>
      </c>
      <c r="H55" s="7"/>
      <c r="I55" s="6"/>
      <c r="J55" s="7"/>
      <c r="K55" s="7"/>
      <c r="L55" s="7"/>
      <c r="M55" s="7"/>
    </row>
    <row r="56" spans="5:13">
      <c r="E56" s="10">
        <v>2022</v>
      </c>
      <c r="F56" s="185">
        <f>+calc!P27</f>
        <v>0.04</v>
      </c>
      <c r="G56" s="186">
        <f>MAX(calc!X23,+'2'!$G$10*F56*0.857142857142857)</f>
        <v>365</v>
      </c>
      <c r="H56" s="6"/>
      <c r="I56" s="6"/>
      <c r="J56" s="7"/>
      <c r="K56" s="7"/>
      <c r="L56" s="7"/>
      <c r="M56" s="7"/>
    </row>
    <row r="57" spans="5:13">
      <c r="E57" s="10"/>
      <c r="F57" s="10"/>
      <c r="G57" s="10"/>
      <c r="H57" s="6"/>
      <c r="I57" s="6"/>
      <c r="J57" s="7"/>
      <c r="K57" s="7"/>
      <c r="L57" s="7"/>
      <c r="M57" s="7"/>
    </row>
    <row r="58" spans="5:13">
      <c r="E58" s="10"/>
      <c r="F58" s="7"/>
      <c r="G58" s="7"/>
      <c r="H58" s="7"/>
      <c r="I58" s="6"/>
      <c r="J58" s="7"/>
      <c r="K58" s="7"/>
      <c r="L58" s="7"/>
      <c r="M58" s="7"/>
    </row>
    <row r="59" spans="5:13">
      <c r="E59" s="190" t="s">
        <v>253</v>
      </c>
      <c r="F59" s="7"/>
      <c r="G59" s="7"/>
      <c r="H59" s="7"/>
      <c r="I59" s="6"/>
      <c r="J59" s="7"/>
      <c r="K59" s="7"/>
      <c r="L59" s="7"/>
      <c r="M59" s="7"/>
    </row>
    <row r="60" spans="5:13">
      <c r="E60" s="10"/>
      <c r="F60" s="191" t="s">
        <v>55</v>
      </c>
      <c r="G60" s="191" t="s">
        <v>25</v>
      </c>
      <c r="H60" s="191" t="s">
        <v>24</v>
      </c>
      <c r="I60" s="6"/>
      <c r="J60" s="7"/>
      <c r="K60" s="7"/>
      <c r="L60" s="7"/>
      <c r="M60" s="7"/>
    </row>
    <row r="61" spans="5:13">
      <c r="E61" s="10"/>
      <c r="F61" s="191">
        <v>180</v>
      </c>
      <c r="G61" s="192">
        <v>-1.7999999999999999E-2</v>
      </c>
      <c r="H61" s="192">
        <v>-2.7E-2</v>
      </c>
      <c r="I61" s="6"/>
      <c r="J61" s="7"/>
      <c r="K61" s="7"/>
      <c r="L61" s="7"/>
      <c r="M61" s="7"/>
    </row>
    <row r="62" spans="5:13">
      <c r="E62" s="10"/>
      <c r="F62" s="191">
        <v>140</v>
      </c>
      <c r="G62" s="192">
        <v>-4.0000000000000001E-3</v>
      </c>
      <c r="H62" s="192">
        <v>-1.7000000000000001E-2</v>
      </c>
      <c r="I62" s="6"/>
      <c r="J62" s="7"/>
      <c r="K62" s="7"/>
      <c r="L62" s="7"/>
      <c r="M62" s="7"/>
    </row>
    <row r="63" spans="5:13">
      <c r="E63" s="7"/>
      <c r="F63" s="191">
        <v>100</v>
      </c>
      <c r="G63" s="192">
        <v>2.5000000000000001E-2</v>
      </c>
      <c r="H63" s="192">
        <v>3.0000000000000001E-3</v>
      </c>
      <c r="I63" s="6"/>
      <c r="J63" s="7"/>
      <c r="K63" s="7"/>
      <c r="L63" s="7"/>
      <c r="M63" s="7"/>
    </row>
    <row r="64" spans="5:13">
      <c r="E64" s="10"/>
      <c r="F64" s="191">
        <v>60</v>
      </c>
      <c r="G64" s="192">
        <v>3.4000000000000002E-2</v>
      </c>
      <c r="H64" s="192">
        <v>5.2999999999999999E-2</v>
      </c>
      <c r="I64" s="6"/>
      <c r="J64" s="7"/>
      <c r="K64" s="7"/>
      <c r="L64" s="7"/>
      <c r="M64" s="7"/>
    </row>
    <row r="65" spans="5:13">
      <c r="E65" s="10"/>
      <c r="F65" s="191">
        <v>40</v>
      </c>
      <c r="G65" s="192">
        <v>-8.0000000000000002E-3</v>
      </c>
      <c r="H65" s="192">
        <v>-8.0000000000000002E-3</v>
      </c>
      <c r="I65" s="6" t="s">
        <v>254</v>
      </c>
      <c r="J65" s="7"/>
      <c r="K65" s="7"/>
      <c r="L65" s="7"/>
      <c r="M65" s="7"/>
    </row>
    <row r="66" spans="5:13">
      <c r="E66" s="10"/>
      <c r="F66" s="189"/>
      <c r="G66" s="189"/>
      <c r="H66" s="189"/>
      <c r="I66" s="6"/>
      <c r="J66" s="7"/>
      <c r="K66" s="7"/>
      <c r="L66" s="7"/>
      <c r="M66" s="7"/>
    </row>
    <row r="67" spans="5:13">
      <c r="E67" s="10"/>
      <c r="F67" s="10"/>
      <c r="G67" s="10"/>
      <c r="H67" s="6"/>
      <c r="I67" s="6"/>
      <c r="J67" s="7"/>
      <c r="K67" s="7"/>
      <c r="L67" s="7"/>
      <c r="M67" s="7"/>
    </row>
  </sheetData>
  <sheetProtection algorithmName="SHA-512" hashValue="vLXof/rBks9FBo25nnAdytkdC8RXRPP4wHP7FGKMIqozBCh05ehf06BAL7s16n6NiekVvihzbINsk1/3tkaGBg==" saltValue="gkrIvi6agaPQH5ZhenVHcw==" spinCount="100000" sheet="1" objects="1" scenarios="1"/>
  <mergeCells count="2">
    <mergeCell ref="L22:M22"/>
    <mergeCell ref="J22:K22"/>
  </mergeCells>
  <pageMargins left="0.7" right="0.7" top="0.75" bottom="0.75" header="0.3" footer="0.3"/>
  <pageSetup paperSize="9" orientation="portrait" horizontalDpi="300" verticalDpi="300" r:id="rId1"/>
  <headerFooter>
    <oddHeader>&amp;C&amp;Z&amp;F</oddHead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4C157-431B-4782-8C01-61ED8760410C}">
  <sheetPr codeName="Sheet4">
    <tabColor theme="3" tint="0.79998168889431442"/>
    <pageSetUpPr autoPageBreaks="0" fitToPage="1"/>
  </sheetPr>
  <dimension ref="B1:F27"/>
  <sheetViews>
    <sheetView showGridLines="0" showRowColHeaders="0" workbookViewId="0"/>
  </sheetViews>
  <sheetFormatPr defaultColWidth="5.75" defaultRowHeight="20.100000000000001" customHeight="1"/>
  <cols>
    <col min="1" max="1" width="5.75" style="120" customWidth="1"/>
    <col min="2" max="2" width="22.875" style="120" customWidth="1"/>
    <col min="3" max="3" width="18.625" style="120" customWidth="1"/>
    <col min="4" max="4" width="22.875" style="120" customWidth="1"/>
    <col min="5" max="5" width="18.625" style="120" customWidth="1"/>
    <col min="6" max="6" width="25.75" style="120" customWidth="1"/>
    <col min="7" max="9" width="5.75" style="120" customWidth="1"/>
    <col min="10" max="10" width="8.375" style="120" customWidth="1"/>
    <col min="11" max="16384" width="5.75" style="120"/>
  </cols>
  <sheetData>
    <row r="1" spans="2:6" ht="30" customHeight="1"/>
    <row r="2" spans="2:6" ht="48.75" customHeight="1">
      <c r="B2" s="119"/>
      <c r="C2" s="119"/>
      <c r="D2" s="258">
        <f>DTM</f>
        <v>46030</v>
      </c>
      <c r="E2" s="258"/>
      <c r="F2" s="258"/>
    </row>
    <row r="3" spans="2:6" ht="20.100000000000001" customHeight="1">
      <c r="B3" s="119"/>
      <c r="C3" s="119"/>
      <c r="D3" s="119"/>
      <c r="E3" s="119"/>
      <c r="F3" s="119"/>
    </row>
    <row r="4" spans="2:6" ht="30" customHeight="1">
      <c r="B4" s="241" t="s">
        <v>272</v>
      </c>
      <c r="C4" s="241"/>
      <c r="D4" s="241"/>
      <c r="E4" s="241"/>
      <c r="F4" s="241"/>
    </row>
    <row r="5" spans="2:6" ht="20.100000000000001" customHeight="1">
      <c r="B5" s="119"/>
      <c r="C5" s="121"/>
      <c r="D5" s="119"/>
      <c r="E5" s="119"/>
      <c r="F5" s="119"/>
    </row>
    <row r="6" spans="2:6" ht="20.100000000000001" customHeight="1">
      <c r="B6" s="122"/>
      <c r="C6" s="122"/>
      <c r="D6" s="122"/>
      <c r="E6" s="122"/>
      <c r="F6" s="122"/>
    </row>
    <row r="7" spans="2:6" ht="20.100000000000001" customHeight="1">
      <c r="B7" s="122"/>
      <c r="C7" s="122"/>
      <c r="D7" s="122"/>
      <c r="E7" s="122"/>
      <c r="F7" s="122"/>
    </row>
    <row r="8" spans="2:6" ht="20.100000000000001" customHeight="1">
      <c r="B8" s="122"/>
      <c r="C8" s="122"/>
      <c r="D8" s="122"/>
      <c r="E8" s="122"/>
      <c r="F8" s="122"/>
    </row>
    <row r="9" spans="2:6" ht="20.100000000000001" customHeight="1">
      <c r="B9" s="122"/>
      <c r="C9" s="122"/>
      <c r="D9" s="122"/>
      <c r="E9" s="122"/>
      <c r="F9" s="122"/>
    </row>
    <row r="10" spans="2:6" ht="20.100000000000001" customHeight="1">
      <c r="B10" s="122"/>
      <c r="C10" s="122"/>
      <c r="D10" s="122"/>
      <c r="E10" s="122"/>
      <c r="F10" s="122"/>
    </row>
    <row r="11" spans="2:6" ht="20.100000000000001" customHeight="1">
      <c r="B11" s="122"/>
      <c r="C11" s="122"/>
      <c r="D11" s="122"/>
      <c r="E11" s="122"/>
      <c r="F11" s="122"/>
    </row>
    <row r="12" spans="2:6" ht="20.100000000000001" customHeight="1">
      <c r="B12" s="122"/>
      <c r="C12" s="122"/>
      <c r="D12" s="122"/>
      <c r="E12" s="122"/>
      <c r="F12" s="122"/>
    </row>
    <row r="13" spans="2:6" ht="20.100000000000001" customHeight="1">
      <c r="B13" s="122"/>
      <c r="C13" s="122"/>
      <c r="D13" s="122"/>
      <c r="E13" s="122"/>
      <c r="F13" s="122"/>
    </row>
    <row r="14" spans="2:6" ht="20.100000000000001" customHeight="1">
      <c r="B14" s="122"/>
      <c r="C14" s="122"/>
      <c r="D14" s="122"/>
      <c r="E14" s="122"/>
      <c r="F14" s="122"/>
    </row>
    <row r="15" spans="2:6" ht="20.100000000000001" customHeight="1">
      <c r="B15" s="122"/>
      <c r="C15" s="122"/>
      <c r="D15" s="122"/>
      <c r="E15" s="122"/>
      <c r="F15" s="122"/>
    </row>
    <row r="16" spans="2:6" ht="20.100000000000001" customHeight="1">
      <c r="B16" s="123" t="s">
        <v>117</v>
      </c>
      <c r="C16" s="124"/>
      <c r="D16" s="125" t="s">
        <v>118</v>
      </c>
      <c r="E16" s="126"/>
      <c r="F16" s="123" t="s">
        <v>36</v>
      </c>
    </row>
    <row r="17" spans="2:6" ht="20.100000000000001" customHeight="1">
      <c r="B17" s="135" t="s">
        <v>119</v>
      </c>
      <c r="C17" s="23"/>
      <c r="D17" s="135" t="s">
        <v>119</v>
      </c>
      <c r="E17" s="23"/>
      <c r="F17" s="135" t="s">
        <v>146</v>
      </c>
    </row>
    <row r="19" spans="2:6" ht="20.100000000000001" customHeight="1">
      <c r="B19" s="23"/>
      <c r="C19" s="23"/>
      <c r="D19" s="23"/>
      <c r="E19" s="23"/>
      <c r="F19" s="135" t="s">
        <v>147</v>
      </c>
    </row>
    <row r="20" spans="2:6" ht="20.100000000000001" customHeight="1" thickBot="1">
      <c r="B20" s="23"/>
      <c r="C20" s="23"/>
      <c r="D20" s="23"/>
      <c r="E20" s="23"/>
      <c r="F20" s="24"/>
    </row>
    <row r="21" spans="2:6" ht="20.100000000000001" customHeight="1" thickTop="1" thickBot="1">
      <c r="B21" s="216" t="s">
        <v>265</v>
      </c>
      <c r="C21" s="133"/>
      <c r="D21" s="133"/>
      <c r="E21" s="133"/>
      <c r="F21" s="213" t="s">
        <v>266</v>
      </c>
    </row>
    <row r="22" spans="2:6" ht="12" customHeight="1" thickTop="1">
      <c r="B22" s="130"/>
      <c r="C22" s="130"/>
      <c r="D22" s="130"/>
      <c r="E22" s="130"/>
      <c r="F22" s="130"/>
    </row>
    <row r="23" spans="2:6" ht="12" customHeight="1">
      <c r="B23" s="131" t="s">
        <v>120</v>
      </c>
      <c r="C23" s="132"/>
      <c r="D23" s="132"/>
      <c r="E23" s="132"/>
      <c r="F23" s="132"/>
    </row>
    <row r="24" spans="2:6" ht="12" customHeight="1">
      <c r="B24" s="131" t="s">
        <v>121</v>
      </c>
      <c r="C24" s="133"/>
      <c r="D24" s="133"/>
      <c r="E24" s="133"/>
      <c r="F24" s="133"/>
    </row>
    <row r="25" spans="2:6" ht="12" customHeight="1">
      <c r="B25" s="130"/>
      <c r="C25" s="130"/>
      <c r="D25" s="130"/>
      <c r="E25" s="130"/>
      <c r="F25" s="130"/>
    </row>
    <row r="26" spans="2:6" ht="20.100000000000001" customHeight="1">
      <c r="B26" s="244" t="s">
        <v>269</v>
      </c>
      <c r="C26" s="244"/>
      <c r="D26" s="244"/>
      <c r="E26" s="244"/>
      <c r="F26" s="217" t="s">
        <v>267</v>
      </c>
    </row>
    <row r="27" spans="2:6" ht="20.100000000000001" customHeight="1">
      <c r="B27" s="244"/>
      <c r="C27" s="244"/>
      <c r="D27" s="244"/>
      <c r="E27" s="244"/>
      <c r="F27" s="217" t="s">
        <v>268</v>
      </c>
    </row>
  </sheetData>
  <sheetProtection algorithmName="SHA-512" hashValue="ttFKEcApMlIcIwG4qkirjYHzDJqnbDw4azSiB5bK52jAJq3FWYiprISyj9+2aHMCzm6zCX8B8chqLF6Xan3pbw==" saltValue="vibMvMK8HT6TZmRuctDkXQ==" spinCount="100000" sheet="1" objects="1" scenarios="1"/>
  <mergeCells count="3">
    <mergeCell ref="D2:F2"/>
    <mergeCell ref="B4:F4"/>
    <mergeCell ref="B26:E27"/>
  </mergeCells>
  <hyperlinks>
    <hyperlink ref="B17" location="'1FR'!A1" tooltip="Note de la rédaction" display="} Cliquez ici" xr:uid="{931154E9-BF79-43BF-BE6B-014ECFDF331A}"/>
    <hyperlink ref="D17" location="'2FR'!A1" tooltip="Outil de calcul" display="} Cliquez ici" xr:uid="{5505F08E-22C0-40BB-960A-00E84D3979E0}"/>
    <hyperlink ref="F17" r:id="rId1" tooltip="Checklist" xr:uid="{93F31F95-6AA1-418D-9CDC-359FA92A827A}"/>
    <hyperlink ref="F19" r:id="rId2" tooltip="Checklist" xr:uid="{91ECE5B4-B3EF-4D3A-A6A6-13AA6B60939F}"/>
    <hyperlink ref="F21" r:id="rId3" tooltip="Contactez la rédaction" xr:uid="{74BF4743-2FAF-4876-A641-2DAC8C4957C7}"/>
  </hyperlinks>
  <pageMargins left="0.75" right="0.75" top="1" bottom="1" header="0.5" footer="0.5"/>
  <pageSetup paperSize="9" orientation="portrait" r:id="rId4"/>
  <headerFooter alignWithMargins="0">
    <oddHeader>&amp;C&amp;Z&amp;F</oddHeader>
    <oddFooter>&amp;C&amp;P/&amp;N</oddFooter>
  </headerFooter>
  <drawing r:id="rId5"/>
  <legacy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746B3-F947-410C-B34F-7E2FFF20E866}">
  <sheetPr codeName="Sheet8">
    <tabColor theme="3" tint="0.79998168889431442"/>
  </sheetPr>
  <dimension ref="A2:N43"/>
  <sheetViews>
    <sheetView showGridLines="0" showRowColHeaders="0" zoomScaleNormal="100" workbookViewId="0"/>
  </sheetViews>
  <sheetFormatPr defaultRowHeight="15.9" customHeight="1"/>
  <cols>
    <col min="1" max="1" width="5.75" customWidth="1"/>
    <col min="2" max="3" width="16" customWidth="1"/>
    <col min="4" max="4" width="19.75" customWidth="1"/>
    <col min="5" max="9" width="16" customWidth="1"/>
    <col min="10" max="32" width="5.75" customWidth="1"/>
  </cols>
  <sheetData>
    <row r="2" spans="2:14" ht="30" customHeight="1" thickBot="1">
      <c r="B2" s="250" t="s">
        <v>148</v>
      </c>
      <c r="C2" s="250"/>
      <c r="D2" s="250"/>
      <c r="E2" s="250"/>
      <c r="F2" s="250"/>
      <c r="G2" s="250"/>
      <c r="H2" s="250"/>
      <c r="I2" s="250"/>
      <c r="K2" s="1" t="s">
        <v>0</v>
      </c>
      <c r="L2" s="16" t="s">
        <v>1</v>
      </c>
      <c r="M2" s="15" t="s">
        <v>2</v>
      </c>
      <c r="N2" s="162" t="s">
        <v>3</v>
      </c>
    </row>
    <row r="3" spans="2:14" ht="15.9" customHeight="1">
      <c r="K3" s="196"/>
      <c r="L3" s="196"/>
      <c r="M3" s="196"/>
      <c r="N3" s="196"/>
    </row>
    <row r="4" spans="2:14" ht="28.5" customHeight="1">
      <c r="B4" s="259" t="s">
        <v>151</v>
      </c>
      <c r="C4" s="259"/>
      <c r="D4" s="259"/>
      <c r="E4" s="259"/>
      <c r="F4" s="259"/>
      <c r="G4" s="259"/>
      <c r="H4" s="259"/>
      <c r="I4" s="259"/>
      <c r="K4" s="196"/>
      <c r="L4" s="196"/>
      <c r="M4" s="196"/>
      <c r="N4" s="196"/>
    </row>
    <row r="5" spans="2:14" ht="15.9" customHeight="1">
      <c r="B5" s="89"/>
      <c r="D5" s="90"/>
      <c r="E5" s="91"/>
      <c r="F5" s="91"/>
      <c r="G5" s="91"/>
      <c r="H5" s="89"/>
      <c r="I5" s="92"/>
      <c r="K5" s="196"/>
      <c r="L5" s="196"/>
      <c r="M5" s="196"/>
      <c r="N5" s="196"/>
    </row>
    <row r="6" spans="2:14" ht="15.9" customHeight="1">
      <c r="B6" s="13" t="s">
        <v>149</v>
      </c>
      <c r="K6" s="196"/>
      <c r="L6" s="196"/>
      <c r="M6" s="196"/>
      <c r="N6" s="196"/>
    </row>
    <row r="7" spans="2:14" ht="15.9" customHeight="1">
      <c r="B7" s="100" t="s">
        <v>150</v>
      </c>
      <c r="C7" s="94"/>
      <c r="D7" s="95" t="s">
        <v>198</v>
      </c>
      <c r="E7" s="101"/>
      <c r="F7" s="101"/>
      <c r="G7" s="101"/>
      <c r="H7" s="102"/>
      <c r="I7" s="102"/>
      <c r="K7" s="196"/>
      <c r="L7" s="196"/>
      <c r="M7" s="196"/>
      <c r="N7" s="196"/>
    </row>
    <row r="8" spans="2:14" ht="15.9" customHeight="1">
      <c r="B8" s="103"/>
      <c r="D8" s="93"/>
      <c r="E8" s="104"/>
      <c r="F8" s="104"/>
      <c r="G8" s="104"/>
      <c r="H8" s="105"/>
      <c r="K8" s="196"/>
      <c r="L8" s="196"/>
      <c r="M8" s="196"/>
      <c r="N8" s="196"/>
    </row>
    <row r="9" spans="2:14" ht="15.9" customHeight="1">
      <c r="B9" s="100" t="s">
        <v>152</v>
      </c>
      <c r="C9" s="94"/>
      <c r="D9" s="95" t="s">
        <v>199</v>
      </c>
      <c r="E9" s="101"/>
      <c r="F9" s="101"/>
      <c r="G9" s="101"/>
      <c r="H9" s="102"/>
      <c r="I9" s="102"/>
      <c r="K9" s="196"/>
      <c r="L9" s="196"/>
      <c r="M9" s="196"/>
      <c r="N9" s="196"/>
    </row>
    <row r="10" spans="2:14" ht="15.9" customHeight="1">
      <c r="B10" s="89"/>
      <c r="D10" s="90"/>
      <c r="E10" s="91"/>
      <c r="F10" s="91"/>
      <c r="G10" s="91"/>
      <c r="H10" s="89"/>
      <c r="I10" s="92"/>
      <c r="K10" s="196"/>
      <c r="L10" s="196"/>
      <c r="M10" s="196"/>
      <c r="N10" s="196"/>
    </row>
    <row r="11" spans="2:14" ht="15.9" customHeight="1">
      <c r="B11" s="99" t="s">
        <v>155</v>
      </c>
      <c r="D11" s="90"/>
      <c r="E11" s="91"/>
      <c r="F11" s="91"/>
      <c r="G11" s="91"/>
      <c r="H11" s="89"/>
      <c r="I11" s="92"/>
      <c r="K11" s="196"/>
      <c r="L11" s="196"/>
      <c r="M11" s="196"/>
      <c r="N11" s="196"/>
    </row>
    <row r="12" spans="2:14" ht="15.9" customHeight="1">
      <c r="B12" s="98" t="s">
        <v>200</v>
      </c>
      <c r="D12" s="90"/>
      <c r="E12" s="91"/>
      <c r="F12" s="91"/>
      <c r="G12" s="91"/>
      <c r="H12" s="89"/>
      <c r="I12" s="92"/>
      <c r="K12" s="196"/>
      <c r="L12" s="196"/>
      <c r="M12" s="196"/>
      <c r="N12" s="196"/>
    </row>
    <row r="13" spans="2:14" ht="47.25" customHeight="1">
      <c r="B13" s="252" t="s">
        <v>157</v>
      </c>
      <c r="C13" s="252"/>
      <c r="D13" s="252"/>
      <c r="E13" s="252"/>
      <c r="F13" s="252"/>
      <c r="G13" s="252"/>
      <c r="H13" s="252"/>
      <c r="I13" s="252"/>
      <c r="K13" s="196"/>
      <c r="L13" s="196"/>
      <c r="M13" s="196"/>
      <c r="N13" s="196"/>
    </row>
    <row r="14" spans="2:14" ht="15.9" customHeight="1">
      <c r="B14" s="111" t="s">
        <v>201</v>
      </c>
      <c r="C14" s="106" t="s">
        <v>202</v>
      </c>
      <c r="D14" s="88"/>
      <c r="F14" s="110">
        <v>50000</v>
      </c>
      <c r="G14" s="88"/>
      <c r="H14" s="88"/>
      <c r="I14" s="88"/>
      <c r="K14" s="196"/>
      <c r="L14" s="196"/>
      <c r="M14" s="196"/>
      <c r="N14" s="196"/>
    </row>
    <row r="15" spans="2:14" ht="15.9" customHeight="1">
      <c r="B15" s="97"/>
      <c r="C15" s="106" t="s">
        <v>203</v>
      </c>
      <c r="F15" s="110">
        <v>5000</v>
      </c>
      <c r="K15" s="196"/>
      <c r="L15" s="196"/>
      <c r="M15" s="196"/>
      <c r="N15" s="196"/>
    </row>
    <row r="16" spans="2:14" ht="15.9" customHeight="1">
      <c r="B16" s="97"/>
      <c r="C16" s="106" t="s">
        <v>204</v>
      </c>
      <c r="F16" s="108">
        <v>-2500</v>
      </c>
      <c r="K16" s="196"/>
      <c r="L16" s="196"/>
      <c r="M16" s="196"/>
      <c r="N16" s="196"/>
    </row>
    <row r="17" spans="2:14" ht="15.9" customHeight="1">
      <c r="B17" s="97"/>
      <c r="C17" s="106" t="s">
        <v>205</v>
      </c>
      <c r="F17" s="107">
        <f>SUM(F14:F16)</f>
        <v>52500</v>
      </c>
      <c r="K17" s="193"/>
      <c r="L17" s="193"/>
      <c r="M17" s="193"/>
      <c r="N17" s="193"/>
    </row>
    <row r="18" spans="2:14" ht="15.9" customHeight="1">
      <c r="B18" s="97"/>
      <c r="C18" s="106" t="s">
        <v>159</v>
      </c>
      <c r="F18" s="109">
        <f>+F17*0.21</f>
        <v>11025</v>
      </c>
      <c r="K18" s="193"/>
      <c r="L18" s="193"/>
      <c r="M18" s="193"/>
      <c r="N18" s="193"/>
    </row>
    <row r="19" spans="2:14" ht="15.9" customHeight="1">
      <c r="B19" s="97"/>
      <c r="C19" s="106" t="s">
        <v>158</v>
      </c>
      <c r="F19" s="110">
        <f>+F14+F15+F18</f>
        <v>66025</v>
      </c>
      <c r="K19" s="193"/>
      <c r="L19" s="193"/>
      <c r="M19" s="193"/>
      <c r="N19" s="193"/>
    </row>
    <row r="20" spans="2:14" ht="15.9" customHeight="1">
      <c r="C20" s="106"/>
      <c r="K20" s="193"/>
      <c r="L20" s="193"/>
      <c r="M20" s="193"/>
      <c r="N20" s="193"/>
    </row>
    <row r="21" spans="2:14" s="18" customFormat="1" ht="15.9" customHeight="1">
      <c r="B21" s="112" t="s">
        <v>160</v>
      </c>
      <c r="E21" s="19"/>
      <c r="I21"/>
      <c r="K21" s="195"/>
      <c r="L21" s="195"/>
      <c r="M21" s="195"/>
      <c r="N21" s="195"/>
    </row>
    <row r="22" spans="2:14" ht="33.75" customHeight="1">
      <c r="C22" s="158"/>
      <c r="D22" s="248" t="s">
        <v>206</v>
      </c>
      <c r="E22" s="248"/>
      <c r="F22" s="253" t="s">
        <v>207</v>
      </c>
      <c r="G22" s="254"/>
      <c r="H22" s="254"/>
      <c r="I22" s="254"/>
      <c r="K22" s="193"/>
      <c r="L22" s="193"/>
      <c r="M22" s="193"/>
      <c r="N22" s="193"/>
    </row>
    <row r="23" spans="2:14" ht="15.9" customHeight="1">
      <c r="D23" s="116" t="s">
        <v>208</v>
      </c>
      <c r="E23" s="117" t="s">
        <v>209</v>
      </c>
      <c r="K23" s="193"/>
      <c r="L23" s="193"/>
      <c r="M23" s="193"/>
      <c r="N23" s="193"/>
    </row>
    <row r="24" spans="2:14" ht="15.9" customHeight="1">
      <c r="D24" s="116" t="s">
        <v>210</v>
      </c>
      <c r="E24" s="117" t="s">
        <v>211</v>
      </c>
      <c r="K24" s="193"/>
      <c r="L24" s="193"/>
      <c r="M24" s="193"/>
      <c r="N24" s="193"/>
    </row>
    <row r="25" spans="2:14" ht="15.9" customHeight="1">
      <c r="D25" s="116" t="s">
        <v>212</v>
      </c>
      <c r="E25" s="117" t="s">
        <v>213</v>
      </c>
      <c r="K25" s="193"/>
      <c r="L25" s="193"/>
      <c r="M25" s="193"/>
      <c r="N25" s="193"/>
    </row>
    <row r="26" spans="2:14" ht="15.9" customHeight="1">
      <c r="D26" s="116" t="s">
        <v>214</v>
      </c>
      <c r="E26" s="117" t="s">
        <v>215</v>
      </c>
      <c r="K26" s="193"/>
      <c r="L26" s="193"/>
      <c r="M26" s="193"/>
      <c r="N26" s="193"/>
    </row>
    <row r="27" spans="2:14" ht="15.9" customHeight="1">
      <c r="D27" s="116" t="s">
        <v>216</v>
      </c>
      <c r="E27" s="117" t="s">
        <v>217</v>
      </c>
      <c r="K27" s="193"/>
      <c r="L27" s="193"/>
      <c r="M27" s="193"/>
      <c r="N27" s="193"/>
    </row>
    <row r="28" spans="2:14" ht="15.9" customHeight="1">
      <c r="D28" s="116" t="s">
        <v>218</v>
      </c>
      <c r="E28" s="117" t="s">
        <v>219</v>
      </c>
      <c r="K28" s="193"/>
      <c r="L28" s="193"/>
      <c r="M28" s="193"/>
      <c r="N28" s="193"/>
    </row>
    <row r="29" spans="2:14" ht="15.9" customHeight="1">
      <c r="K29" s="193"/>
      <c r="L29" s="193"/>
      <c r="M29" s="193"/>
      <c r="N29" s="193"/>
    </row>
    <row r="30" spans="2:14" ht="15.9" customHeight="1">
      <c r="B30" s="99" t="s">
        <v>161</v>
      </c>
      <c r="K30" s="193"/>
      <c r="L30" s="193"/>
      <c r="M30" s="193"/>
      <c r="N30" s="193"/>
    </row>
    <row r="31" spans="2:14" ht="15.9" customHeight="1">
      <c r="B31" s="100" t="s">
        <v>220</v>
      </c>
      <c r="C31" s="94"/>
      <c r="D31" s="95" t="s">
        <v>221</v>
      </c>
      <c r="E31" s="94"/>
      <c r="F31" s="96"/>
      <c r="G31" s="94"/>
      <c r="H31" s="94"/>
      <c r="K31" s="193"/>
      <c r="L31" s="193"/>
      <c r="M31" s="193"/>
      <c r="N31" s="193"/>
    </row>
    <row r="32" spans="2:14" ht="15.9" customHeight="1">
      <c r="B32" s="91"/>
      <c r="D32" s="157" t="s">
        <v>222</v>
      </c>
      <c r="E32" s="113"/>
      <c r="F32" s="91"/>
      <c r="K32" s="193"/>
      <c r="L32" s="193"/>
      <c r="M32" s="193"/>
      <c r="N32" s="193"/>
    </row>
    <row r="33" spans="1:14" ht="15.9" customHeight="1">
      <c r="K33" s="193"/>
      <c r="L33" s="193"/>
      <c r="M33" s="193"/>
      <c r="N33" s="193"/>
    </row>
    <row r="34" spans="1:14" ht="15.9" customHeight="1">
      <c r="B34" s="247" t="s">
        <v>163</v>
      </c>
      <c r="C34" s="247" t="s">
        <v>223</v>
      </c>
      <c r="D34" s="247" t="s">
        <v>224</v>
      </c>
      <c r="E34" s="255" t="s">
        <v>166</v>
      </c>
      <c r="F34" s="255"/>
      <c r="G34" s="247" t="s">
        <v>165</v>
      </c>
      <c r="H34" s="247"/>
      <c r="I34" s="248" t="s">
        <v>225</v>
      </c>
      <c r="K34" s="193"/>
      <c r="L34" s="193"/>
      <c r="M34" s="193"/>
      <c r="N34" s="193"/>
    </row>
    <row r="35" spans="1:14" ht="15.9" customHeight="1">
      <c r="B35" s="247"/>
      <c r="C35" s="247"/>
      <c r="D35" s="247"/>
      <c r="E35" s="87" t="s">
        <v>164</v>
      </c>
      <c r="F35" s="87" t="s">
        <v>24</v>
      </c>
      <c r="G35" s="87" t="s">
        <v>164</v>
      </c>
      <c r="H35" s="87" t="s">
        <v>24</v>
      </c>
      <c r="I35" s="248"/>
      <c r="K35" s="193"/>
      <c r="L35" s="193"/>
      <c r="M35" s="193"/>
      <c r="N35" s="193"/>
    </row>
    <row r="36" spans="1:14" ht="15.9" customHeight="1">
      <c r="B36" s="84">
        <v>2025</v>
      </c>
      <c r="C36" s="85">
        <v>0.04</v>
      </c>
      <c r="D36" s="85">
        <v>0.18</v>
      </c>
      <c r="E36" s="84">
        <v>71</v>
      </c>
      <c r="F36" s="84">
        <v>59</v>
      </c>
      <c r="G36" s="84">
        <v>205</v>
      </c>
      <c r="H36" s="84">
        <v>195</v>
      </c>
      <c r="I36" s="86">
        <v>1650</v>
      </c>
      <c r="K36" s="193"/>
      <c r="L36" s="193"/>
      <c r="M36" s="193"/>
      <c r="N36" s="193"/>
    </row>
    <row r="37" spans="1:14" ht="15.9" customHeight="1">
      <c r="B37" s="84">
        <v>2024</v>
      </c>
      <c r="C37" s="85">
        <v>0.04</v>
      </c>
      <c r="D37" s="85">
        <v>0.18</v>
      </c>
      <c r="E37" s="84">
        <v>78</v>
      </c>
      <c r="F37" s="84">
        <v>65</v>
      </c>
      <c r="G37" s="84">
        <v>205</v>
      </c>
      <c r="H37" s="84">
        <v>195</v>
      </c>
      <c r="I37" s="86">
        <v>1600</v>
      </c>
      <c r="K37" s="193"/>
      <c r="L37" s="193"/>
      <c r="M37" s="193"/>
      <c r="N37" s="193"/>
    </row>
    <row r="38" spans="1:14" ht="15.9" customHeight="1">
      <c r="B38" s="84">
        <v>2023</v>
      </c>
      <c r="C38" s="85">
        <v>0.04</v>
      </c>
      <c r="D38" s="85">
        <v>0.18</v>
      </c>
      <c r="E38" s="84">
        <v>82</v>
      </c>
      <c r="F38" s="84">
        <v>67</v>
      </c>
      <c r="G38" s="84">
        <v>205</v>
      </c>
      <c r="H38" s="84">
        <v>195</v>
      </c>
      <c r="I38" s="86">
        <v>1540</v>
      </c>
      <c r="K38" s="193"/>
      <c r="L38" s="193"/>
      <c r="M38" s="193"/>
      <c r="N38" s="193"/>
    </row>
    <row r="39" spans="1:14" ht="15.9" customHeight="1">
      <c r="B39" s="84">
        <f>B38-1</f>
        <v>2022</v>
      </c>
      <c r="C39" s="85">
        <v>0.04</v>
      </c>
      <c r="D39" s="85">
        <v>0.18</v>
      </c>
      <c r="E39" s="84">
        <v>91</v>
      </c>
      <c r="F39" s="84">
        <v>75</v>
      </c>
      <c r="G39" s="84">
        <v>205</v>
      </c>
      <c r="H39" s="84">
        <v>195</v>
      </c>
      <c r="I39" s="86">
        <v>1400</v>
      </c>
      <c r="K39" s="193"/>
      <c r="L39" s="193"/>
      <c r="M39" s="193"/>
      <c r="N39" s="193"/>
    </row>
    <row r="40" spans="1:14" ht="15.9" customHeight="1">
      <c r="K40" s="193"/>
      <c r="L40" s="193"/>
      <c r="M40" s="193"/>
      <c r="N40" s="193"/>
    </row>
    <row r="41" spans="1:14" ht="15.9" customHeight="1">
      <c r="B41" s="114" t="s">
        <v>167</v>
      </c>
      <c r="C41" s="115"/>
      <c r="D41" s="115"/>
      <c r="E41" s="115"/>
      <c r="F41" s="115"/>
      <c r="G41" s="115"/>
      <c r="H41" s="115"/>
      <c r="I41" s="115"/>
      <c r="K41" s="193"/>
      <c r="L41" s="193"/>
      <c r="M41" s="193"/>
      <c r="N41" s="193"/>
    </row>
    <row r="42" spans="1:14" s="18" customFormat="1" ht="63.75" customHeight="1">
      <c r="B42" s="249" t="s">
        <v>226</v>
      </c>
      <c r="C42" s="249"/>
      <c r="D42" s="249"/>
      <c r="E42" s="249"/>
      <c r="F42" s="249"/>
      <c r="G42" s="249"/>
      <c r="H42" s="249"/>
      <c r="I42" s="249"/>
      <c r="K42" s="195"/>
      <c r="L42" s="195"/>
      <c r="M42" s="195"/>
      <c r="N42" s="195"/>
    </row>
    <row r="43" spans="1:14" ht="15.9" customHeight="1">
      <c r="A43" s="193"/>
      <c r="B43" s="194"/>
      <c r="C43" s="194"/>
      <c r="D43" s="194"/>
      <c r="E43" s="194"/>
      <c r="F43" s="194"/>
      <c r="G43" s="194"/>
      <c r="H43" s="194"/>
      <c r="I43" s="194"/>
      <c r="J43" s="193"/>
      <c r="K43" s="193"/>
      <c r="L43" s="193"/>
      <c r="M43" s="193"/>
      <c r="N43" s="193"/>
    </row>
  </sheetData>
  <sheetProtection algorithmName="SHA-512" hashValue="ko4MwWxgk1zqFvxKQfIEplxFMcy+QKtw2cJ4cLgqyZY0FcLs7Fo4rohG24SucE8AHhWDcXMhwdcoxIzBOSre5w==" saltValue="rXnsGrP/8NuVUdpBIuKPWw==" spinCount="100000" sheet="1" objects="1" scenarios="1"/>
  <mergeCells count="12">
    <mergeCell ref="I34:I35"/>
    <mergeCell ref="B42:I42"/>
    <mergeCell ref="B2:I2"/>
    <mergeCell ref="B4:I4"/>
    <mergeCell ref="B13:I13"/>
    <mergeCell ref="D22:E22"/>
    <mergeCell ref="F22:I22"/>
    <mergeCell ref="B34:B35"/>
    <mergeCell ref="C34:C35"/>
    <mergeCell ref="D34:D35"/>
    <mergeCell ref="E34:F34"/>
    <mergeCell ref="G34:H34"/>
  </mergeCells>
  <hyperlinks>
    <hyperlink ref="N2" location="'2FR'!A1" tooltip="volgende" display="Æ" xr:uid="{9A3D8AF1-97A6-44E3-87AA-633287A1B840}"/>
    <hyperlink ref="K2" location="'Home FR'!A1" tooltip="Home" display="Ç" xr:uid="{CEB5267D-4621-4F71-8ADB-1C3E3DB0BC2B}"/>
  </hyperlinks>
  <pageMargins left="0.7" right="0.7" top="0.75" bottom="0.75" header="0.3" footer="0.3"/>
  <pageSetup paperSize="9" scale="65" orientation="portrait" r:id="rId1"/>
  <headerFooter>
    <oddHeader>&amp;C&amp;Z&amp;F</oddHeader>
    <oddFooter>&amp;C&amp;P/&amp;N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9EF91-9DCF-41BE-BE31-7C69A43FF950}">
  <sheetPr codeName="Blad2">
    <tabColor theme="3" tint="0.79998168889431442"/>
    <pageSetUpPr autoPageBreaks="0" fitToPage="1"/>
  </sheetPr>
  <dimension ref="A1:L41"/>
  <sheetViews>
    <sheetView showGridLines="0" showRowColHeaders="0" zoomScaleNormal="100" workbookViewId="0"/>
  </sheetViews>
  <sheetFormatPr defaultColWidth="9.125" defaultRowHeight="15.9" customHeight="1"/>
  <cols>
    <col min="1" max="1" width="5.75" style="6" customWidth="1"/>
    <col min="2" max="2" width="30.25" style="6" customWidth="1"/>
    <col min="3" max="3" width="18.75" style="6" customWidth="1"/>
    <col min="4" max="4" width="21.375" style="6" customWidth="1"/>
    <col min="5" max="5" width="18.125" style="6" customWidth="1"/>
    <col min="6" max="7" width="21.625" style="6" customWidth="1"/>
    <col min="8" max="8" width="5.75" style="6" customWidth="1"/>
    <col min="9" max="27" width="5.75" style="7" customWidth="1"/>
    <col min="28" max="16384" width="9.125" style="7"/>
  </cols>
  <sheetData>
    <row r="1" spans="2:12" ht="15.9" customHeight="1" thickBot="1"/>
    <row r="2" spans="2:12" ht="30" customHeight="1" thickBot="1">
      <c r="B2" s="256" t="s">
        <v>168</v>
      </c>
      <c r="C2" s="256"/>
      <c r="D2" s="256"/>
      <c r="E2" s="256"/>
      <c r="F2" s="256"/>
      <c r="G2" s="256"/>
      <c r="I2" s="1" t="s">
        <v>0</v>
      </c>
      <c r="J2" s="2" t="s">
        <v>1</v>
      </c>
      <c r="K2" s="22" t="s">
        <v>2</v>
      </c>
      <c r="L2" s="3" t="s">
        <v>3</v>
      </c>
    </row>
    <row r="3" spans="2:12" ht="15.9" customHeight="1">
      <c r="G3" s="55"/>
      <c r="I3" s="56"/>
      <c r="J3" s="56"/>
      <c r="K3" s="56"/>
      <c r="L3" s="56"/>
    </row>
    <row r="4" spans="2:12" ht="15.9" customHeight="1">
      <c r="B4" s="13" t="s">
        <v>169</v>
      </c>
      <c r="C4" s="13"/>
      <c r="D4" s="5"/>
      <c r="E4" s="5"/>
      <c r="F4" s="5"/>
      <c r="I4" s="57"/>
      <c r="J4" s="57"/>
      <c r="K4" s="57"/>
      <c r="L4" s="57"/>
    </row>
    <row r="5" spans="2:12" ht="15.9" customHeight="1">
      <c r="B5" s="8" t="s">
        <v>170</v>
      </c>
      <c r="C5" s="8"/>
      <c r="D5" s="5"/>
      <c r="E5" s="5"/>
      <c r="F5" s="5"/>
      <c r="I5" s="57"/>
      <c r="J5" s="57"/>
      <c r="K5" s="57"/>
      <c r="L5" s="57"/>
    </row>
    <row r="6" spans="2:12" ht="15.9" customHeight="1">
      <c r="B6" s="8" t="s">
        <v>171</v>
      </c>
      <c r="C6" s="8"/>
      <c r="D6" s="5"/>
      <c r="E6" s="5"/>
      <c r="F6" s="5"/>
      <c r="I6" s="57"/>
      <c r="J6" s="57"/>
      <c r="K6" s="57"/>
      <c r="L6" s="57"/>
    </row>
    <row r="7" spans="2:12" ht="15.9" customHeight="1">
      <c r="B7" s="4"/>
      <c r="C7" s="4"/>
      <c r="D7" s="5"/>
      <c r="E7" s="5"/>
      <c r="F7" s="5"/>
      <c r="I7" s="57"/>
      <c r="J7" s="57"/>
      <c r="K7" s="57"/>
      <c r="L7" s="57"/>
    </row>
    <row r="8" spans="2:12" ht="15.9" customHeight="1">
      <c r="B8" s="8" t="s">
        <v>227</v>
      </c>
      <c r="C8" s="8"/>
      <c r="D8" s="5"/>
      <c r="E8" s="5"/>
      <c r="F8" s="5"/>
      <c r="G8" s="173"/>
      <c r="I8" s="57"/>
      <c r="J8" s="57"/>
      <c r="K8" s="57"/>
      <c r="L8" s="57"/>
    </row>
    <row r="9" spans="2:12" ht="15.9" customHeight="1">
      <c r="B9" s="8" t="s">
        <v>235</v>
      </c>
      <c r="C9" s="8"/>
      <c r="D9" s="21"/>
      <c r="E9" s="21"/>
      <c r="F9" s="21"/>
      <c r="G9" s="173">
        <v>0</v>
      </c>
      <c r="I9" s="74" t="s">
        <v>1</v>
      </c>
      <c r="J9" s="57"/>
      <c r="K9" s="57"/>
      <c r="L9" s="57"/>
    </row>
    <row r="10" spans="2:12" ht="15.9" customHeight="1">
      <c r="B10" s="8" t="s">
        <v>172</v>
      </c>
      <c r="C10" s="8"/>
      <c r="D10" s="8"/>
      <c r="E10" s="8"/>
      <c r="F10" s="8"/>
      <c r="G10" s="20">
        <v>0</v>
      </c>
      <c r="I10" s="74" t="s">
        <v>1</v>
      </c>
      <c r="J10" s="57"/>
      <c r="K10" s="57"/>
      <c r="L10" s="57"/>
    </row>
    <row r="11" spans="2:12" ht="15.9" customHeight="1">
      <c r="B11" s="8" t="s">
        <v>251</v>
      </c>
      <c r="C11" s="8"/>
      <c r="D11" s="8"/>
      <c r="E11" s="8"/>
      <c r="F11" s="8"/>
      <c r="G11" s="174">
        <v>36526</v>
      </c>
      <c r="I11" s="57"/>
      <c r="J11" s="57"/>
      <c r="K11" s="57"/>
      <c r="L11" s="57"/>
    </row>
    <row r="12" spans="2:12" ht="15.9" customHeight="1">
      <c r="B12" s="8" t="s">
        <v>228</v>
      </c>
      <c r="C12" s="8"/>
      <c r="D12" s="8"/>
      <c r="E12" s="8"/>
      <c r="F12" s="8"/>
      <c r="G12" s="174">
        <v>36526</v>
      </c>
      <c r="I12" s="57"/>
      <c r="J12" s="57"/>
      <c r="K12" s="57"/>
      <c r="L12" s="57"/>
    </row>
    <row r="13" spans="2:12" ht="15.9" customHeight="1">
      <c r="B13" s="8" t="s">
        <v>229</v>
      </c>
      <c r="C13" s="8"/>
      <c r="D13" s="8"/>
      <c r="E13" s="8"/>
      <c r="F13" s="8"/>
      <c r="G13" s="174"/>
      <c r="I13" s="57"/>
      <c r="J13" s="57"/>
      <c r="K13" s="57"/>
      <c r="L13" s="57"/>
    </row>
    <row r="14" spans="2:12" ht="15.9" customHeight="1">
      <c r="B14" s="8" t="s">
        <v>245</v>
      </c>
      <c r="C14" s="8"/>
      <c r="D14" s="8"/>
      <c r="E14" s="8"/>
      <c r="F14" s="8"/>
      <c r="G14" s="20"/>
      <c r="I14" s="57"/>
      <c r="J14" s="57"/>
      <c r="K14" s="57"/>
      <c r="L14" s="57"/>
    </row>
    <row r="15" spans="2:12" ht="15.9" customHeight="1">
      <c r="B15" s="8"/>
      <c r="C15" s="8"/>
      <c r="D15" s="7"/>
      <c r="E15" s="7"/>
      <c r="F15" s="7"/>
      <c r="G15" s="8"/>
      <c r="I15" s="57"/>
      <c r="J15" s="57"/>
      <c r="K15" s="57"/>
      <c r="L15" s="57"/>
    </row>
    <row r="16" spans="2:12" ht="15.9" customHeight="1">
      <c r="B16" s="13" t="s">
        <v>173</v>
      </c>
      <c r="C16" s="13"/>
      <c r="D16" s="54"/>
      <c r="E16" s="54"/>
      <c r="F16" s="54"/>
      <c r="G16" s="54"/>
      <c r="I16" s="57"/>
      <c r="J16" s="57"/>
      <c r="K16" s="57"/>
      <c r="L16" s="57"/>
    </row>
    <row r="17" spans="2:12" ht="15.9" customHeight="1">
      <c r="B17" s="8" t="s">
        <v>230</v>
      </c>
      <c r="C17" s="8"/>
      <c r="D17" s="54"/>
      <c r="E17" s="54"/>
      <c r="F17" s="54"/>
      <c r="G17" s="65">
        <f>+calcFR!P23</f>
        <v>0.04</v>
      </c>
      <c r="I17" s="58"/>
      <c r="J17" s="59" t="b">
        <v>0</v>
      </c>
      <c r="K17" s="58"/>
      <c r="L17" s="58"/>
    </row>
    <row r="18" spans="2:12" ht="15.9" customHeight="1">
      <c r="B18" s="8" t="s">
        <v>246</v>
      </c>
      <c r="C18" s="8"/>
      <c r="D18" s="54"/>
      <c r="E18" s="54"/>
      <c r="F18" s="54"/>
      <c r="G18" s="81">
        <f>MAX(calcFR!N23,+G10*G17*0.857142857142857)</f>
        <v>1690</v>
      </c>
      <c r="I18" s="59" t="b">
        <v>1</v>
      </c>
      <c r="J18" s="60"/>
      <c r="K18" s="58"/>
      <c r="L18" s="58"/>
    </row>
    <row r="19" spans="2:12" ht="15.9" customHeight="1">
      <c r="B19" s="8"/>
      <c r="C19" s="8"/>
      <c r="D19" s="79"/>
      <c r="E19" s="79"/>
      <c r="F19" s="79"/>
      <c r="G19" s="80" t="str">
        <f>IF(G18=calcFR!N23,"Le minimum est applicable","")</f>
        <v>Le minimum est applicable</v>
      </c>
      <c r="I19" s="62"/>
      <c r="J19" s="60"/>
      <c r="K19" s="58"/>
      <c r="L19" s="58"/>
    </row>
    <row r="20" spans="2:12" ht="15.9" customHeight="1">
      <c r="B20" s="13" t="s">
        <v>174</v>
      </c>
      <c r="C20" s="13"/>
      <c r="D20" s="7"/>
      <c r="E20" s="7"/>
      <c r="F20" s="7"/>
      <c r="G20" s="7"/>
      <c r="I20" s="62"/>
      <c r="J20" s="60"/>
      <c r="K20" s="58"/>
      <c r="L20" s="58"/>
    </row>
    <row r="21" spans="2:12" ht="15.9" customHeight="1">
      <c r="B21" s="67" t="s">
        <v>175</v>
      </c>
      <c r="C21" s="67" t="s">
        <v>176</v>
      </c>
      <c r="D21" s="67" t="s">
        <v>177</v>
      </c>
      <c r="E21" s="67" t="s">
        <v>243</v>
      </c>
      <c r="F21" s="67" t="s">
        <v>244</v>
      </c>
      <c r="G21" s="67" t="s">
        <v>178</v>
      </c>
      <c r="I21" s="62"/>
      <c r="J21" s="60"/>
      <c r="K21" s="58"/>
      <c r="L21" s="58"/>
    </row>
    <row r="22" spans="2:12" ht="15.9" customHeight="1">
      <c r="B22" s="68" t="s">
        <v>179</v>
      </c>
      <c r="C22" s="69">
        <f>+calcFR!G31</f>
        <v>31</v>
      </c>
      <c r="D22" s="70">
        <f>IF(C22=0,"",+calcFR!M31)</f>
        <v>0.7</v>
      </c>
      <c r="E22" s="82">
        <f>+G22+F22</f>
        <v>143.53424657534245</v>
      </c>
      <c r="F22" s="82">
        <f>+calcFR!N31</f>
        <v>0</v>
      </c>
      <c r="G22" s="82">
        <f>+calcFR!O31</f>
        <v>143.53424657534245</v>
      </c>
      <c r="I22" s="62"/>
      <c r="J22" s="60"/>
      <c r="K22" s="58"/>
      <c r="L22" s="58"/>
    </row>
    <row r="23" spans="2:12" ht="15.9" customHeight="1">
      <c r="B23" s="68" t="s">
        <v>180</v>
      </c>
      <c r="C23" s="69">
        <f>+calcFR!G32</f>
        <v>28</v>
      </c>
      <c r="D23" s="70">
        <f>IF(C23=0,"",+calcFR!M32)</f>
        <v>0.7</v>
      </c>
      <c r="E23" s="82">
        <f t="shared" ref="E23:E33" si="0">+G23+F23</f>
        <v>129.64383561643837</v>
      </c>
      <c r="F23" s="82">
        <f>+calcFR!N32</f>
        <v>0</v>
      </c>
      <c r="G23" s="82">
        <f>+calcFR!O32</f>
        <v>129.64383561643837</v>
      </c>
      <c r="I23" s="62"/>
      <c r="J23" s="60"/>
      <c r="K23" s="58"/>
      <c r="L23" s="58"/>
    </row>
    <row r="24" spans="2:12" ht="15.9" customHeight="1">
      <c r="B24" s="68" t="s">
        <v>181</v>
      </c>
      <c r="C24" s="69">
        <f>+calcFR!G33</f>
        <v>31</v>
      </c>
      <c r="D24" s="70">
        <f>IF(C24=0,"",+calcFR!M33)</f>
        <v>0.7</v>
      </c>
      <c r="E24" s="82">
        <f t="shared" si="0"/>
        <v>143.53424657534245</v>
      </c>
      <c r="F24" s="82">
        <f>+calcFR!N33</f>
        <v>0</v>
      </c>
      <c r="G24" s="82">
        <f>+calcFR!O33</f>
        <v>143.53424657534245</v>
      </c>
      <c r="I24" s="62"/>
      <c r="J24" s="62"/>
      <c r="K24" s="58"/>
      <c r="L24" s="58"/>
    </row>
    <row r="25" spans="2:12" ht="15.9" customHeight="1">
      <c r="B25" s="68" t="s">
        <v>182</v>
      </c>
      <c r="C25" s="69">
        <f>+calcFR!G34</f>
        <v>30</v>
      </c>
      <c r="D25" s="70">
        <f>IF(C25=0,"",+calcFR!M34)</f>
        <v>0.7</v>
      </c>
      <c r="E25" s="82">
        <f t="shared" si="0"/>
        <v>138.9041095890411</v>
      </c>
      <c r="F25" s="82">
        <f>+calcFR!N34</f>
        <v>0</v>
      </c>
      <c r="G25" s="82">
        <f>+calcFR!O34</f>
        <v>138.9041095890411</v>
      </c>
      <c r="H25" s="8"/>
      <c r="I25" s="62"/>
      <c r="J25" s="62"/>
      <c r="K25" s="58"/>
      <c r="L25" s="58"/>
    </row>
    <row r="26" spans="2:12" ht="15.9" customHeight="1">
      <c r="B26" s="68" t="s">
        <v>231</v>
      </c>
      <c r="C26" s="69">
        <f>+calcFR!G35</f>
        <v>31</v>
      </c>
      <c r="D26" s="70">
        <f>IF(C26=0,"",+calcFR!M35)</f>
        <v>0.7</v>
      </c>
      <c r="E26" s="82">
        <f t="shared" si="0"/>
        <v>143.53424657534245</v>
      </c>
      <c r="F26" s="82">
        <f>+calcFR!N35</f>
        <v>0</v>
      </c>
      <c r="G26" s="82">
        <f>+calcFR!O35</f>
        <v>143.53424657534245</v>
      </c>
      <c r="H26" s="8"/>
      <c r="I26" s="62"/>
      <c r="J26" s="62"/>
      <c r="K26" s="58"/>
      <c r="L26" s="58"/>
    </row>
    <row r="27" spans="2:12" ht="15.9" customHeight="1">
      <c r="B27" s="68" t="s">
        <v>183</v>
      </c>
      <c r="C27" s="69">
        <f>+calcFR!G36</f>
        <v>30</v>
      </c>
      <c r="D27" s="70">
        <f>IF(C27=0,"",+calcFR!M36)</f>
        <v>0.7</v>
      </c>
      <c r="E27" s="82">
        <f t="shared" si="0"/>
        <v>138.9041095890411</v>
      </c>
      <c r="F27" s="82">
        <f>+calcFR!N36</f>
        <v>0</v>
      </c>
      <c r="G27" s="82">
        <f>+calcFR!O36</f>
        <v>138.9041095890411</v>
      </c>
      <c r="H27" s="8"/>
      <c r="I27" s="62"/>
      <c r="J27" s="62"/>
      <c r="K27" s="58"/>
      <c r="L27" s="58"/>
    </row>
    <row r="28" spans="2:12" ht="15.9" customHeight="1">
      <c r="B28" s="68" t="s">
        <v>184</v>
      </c>
      <c r="C28" s="69">
        <f>+calcFR!G37</f>
        <v>31</v>
      </c>
      <c r="D28" s="70">
        <f>IF(C28=0,"",+calcFR!M37)</f>
        <v>0.7</v>
      </c>
      <c r="E28" s="82">
        <f t="shared" si="0"/>
        <v>143.53424657534245</v>
      </c>
      <c r="F28" s="82">
        <f>+calcFR!N37</f>
        <v>0</v>
      </c>
      <c r="G28" s="82">
        <f>+calcFR!O37</f>
        <v>143.53424657534245</v>
      </c>
      <c r="H28" s="8"/>
      <c r="I28" s="62"/>
      <c r="J28" s="62"/>
      <c r="K28" s="58"/>
      <c r="L28" s="58"/>
    </row>
    <row r="29" spans="2:12" ht="15.9" customHeight="1">
      <c r="B29" s="68" t="s">
        <v>185</v>
      </c>
      <c r="C29" s="69">
        <f>+calcFR!G38</f>
        <v>31</v>
      </c>
      <c r="D29" s="70">
        <f>IF(C29=0,"",+calcFR!M38)</f>
        <v>0.7</v>
      </c>
      <c r="E29" s="82">
        <f t="shared" si="0"/>
        <v>143.53424657534245</v>
      </c>
      <c r="F29" s="82">
        <f>+calcFR!N38</f>
        <v>0</v>
      </c>
      <c r="G29" s="82">
        <f>+calcFR!O38</f>
        <v>143.53424657534245</v>
      </c>
      <c r="I29" s="63"/>
      <c r="J29" s="63"/>
      <c r="K29" s="58"/>
      <c r="L29" s="58"/>
    </row>
    <row r="30" spans="2:12" ht="15.9" customHeight="1">
      <c r="B30" s="68" t="s">
        <v>186</v>
      </c>
      <c r="C30" s="69">
        <f>+calcFR!G39</f>
        <v>30</v>
      </c>
      <c r="D30" s="70">
        <f>IF(C30=0,"",+calcFR!M39)</f>
        <v>0.7</v>
      </c>
      <c r="E30" s="82">
        <f t="shared" si="0"/>
        <v>138.9041095890411</v>
      </c>
      <c r="F30" s="82">
        <f>+calcFR!N39</f>
        <v>0</v>
      </c>
      <c r="G30" s="82">
        <f>+calcFR!O39</f>
        <v>138.9041095890411</v>
      </c>
      <c r="I30" s="63"/>
      <c r="J30" s="63"/>
      <c r="K30" s="58"/>
      <c r="L30" s="58"/>
    </row>
    <row r="31" spans="2:12" ht="15.9" customHeight="1">
      <c r="B31" s="68" t="s">
        <v>187</v>
      </c>
      <c r="C31" s="69">
        <f>+calcFR!G40</f>
        <v>31</v>
      </c>
      <c r="D31" s="70">
        <f>IF(C31=0,"",+calcFR!M40)</f>
        <v>0.7</v>
      </c>
      <c r="E31" s="82">
        <f t="shared" si="0"/>
        <v>143.53424657534245</v>
      </c>
      <c r="F31" s="82">
        <f>+calcFR!N40</f>
        <v>0</v>
      </c>
      <c r="G31" s="82">
        <f>+calcFR!O40</f>
        <v>143.53424657534245</v>
      </c>
      <c r="I31" s="63"/>
      <c r="J31" s="63"/>
      <c r="K31" s="58"/>
      <c r="L31" s="58"/>
    </row>
    <row r="32" spans="2:12" ht="15.9" customHeight="1">
      <c r="B32" s="68" t="s">
        <v>188</v>
      </c>
      <c r="C32" s="69">
        <f>+calcFR!G41</f>
        <v>30</v>
      </c>
      <c r="D32" s="70">
        <f>IF(C32=0,"",+calcFR!M41)</f>
        <v>0.7</v>
      </c>
      <c r="E32" s="82">
        <f t="shared" si="0"/>
        <v>138.9041095890411</v>
      </c>
      <c r="F32" s="82">
        <f>+calcFR!N41</f>
        <v>0</v>
      </c>
      <c r="G32" s="82">
        <f>+calcFR!O41</f>
        <v>138.9041095890411</v>
      </c>
      <c r="I32" s="63"/>
      <c r="J32" s="63"/>
      <c r="K32" s="58"/>
      <c r="L32" s="58"/>
    </row>
    <row r="33" spans="1:12" ht="15.9" customHeight="1">
      <c r="B33" s="68" t="s">
        <v>189</v>
      </c>
      <c r="C33" s="69">
        <f>+calcFR!G42</f>
        <v>31</v>
      </c>
      <c r="D33" s="70">
        <f>IF(C33=0,"",+calcFR!M42)</f>
        <v>0.7</v>
      </c>
      <c r="E33" s="82">
        <f t="shared" si="0"/>
        <v>143.53424657534245</v>
      </c>
      <c r="F33" s="82">
        <f>+calcFR!N42</f>
        <v>0</v>
      </c>
      <c r="G33" s="82">
        <f>+calcFR!O42</f>
        <v>143.53424657534245</v>
      </c>
      <c r="I33" s="58"/>
      <c r="J33" s="58"/>
      <c r="K33" s="58"/>
      <c r="L33" s="58"/>
    </row>
    <row r="34" spans="1:12" ht="15.9" customHeight="1">
      <c r="B34" s="71" t="s">
        <v>190</v>
      </c>
      <c r="C34" s="72">
        <f>SUM(C22:C33)</f>
        <v>365</v>
      </c>
      <c r="D34" s="73"/>
      <c r="E34" s="83">
        <f t="shared" ref="E34:F34" si="1">SUM(E22:E33)</f>
        <v>1690</v>
      </c>
      <c r="F34" s="83">
        <f t="shared" si="1"/>
        <v>0</v>
      </c>
      <c r="G34" s="83">
        <f>SUM(G22:G33)</f>
        <v>1690</v>
      </c>
      <c r="I34" s="58"/>
      <c r="J34" s="58"/>
      <c r="K34" s="58"/>
      <c r="L34" s="58"/>
    </row>
    <row r="35" spans="1:12" ht="15.9" customHeight="1">
      <c r="B35" s="8"/>
      <c r="C35" s="8"/>
      <c r="D35" s="12"/>
      <c r="E35" s="12"/>
      <c r="F35" s="12"/>
      <c r="G35" s="12"/>
      <c r="I35" s="58"/>
      <c r="J35" s="58"/>
      <c r="K35" s="58"/>
      <c r="L35" s="58"/>
    </row>
    <row r="36" spans="1:12" ht="15.9" customHeight="1">
      <c r="B36" s="13" t="s">
        <v>191</v>
      </c>
      <c r="C36" s="13"/>
      <c r="D36" s="8"/>
      <c r="E36" s="8"/>
      <c r="F36" s="8"/>
      <c r="G36" s="9">
        <f>+calcFR!E23</f>
        <v>2026</v>
      </c>
      <c r="I36" s="58"/>
      <c r="J36" s="58"/>
      <c r="K36" s="58"/>
      <c r="L36" s="58"/>
    </row>
    <row r="37" spans="1:12" ht="15.9" customHeight="1">
      <c r="B37" s="8" t="s">
        <v>232</v>
      </c>
      <c r="C37" s="8"/>
      <c r="G37" s="160">
        <f>+G34</f>
        <v>1690</v>
      </c>
      <c r="I37" s="58"/>
      <c r="J37" s="58"/>
      <c r="K37" s="58"/>
      <c r="L37" s="58"/>
    </row>
    <row r="38" spans="1:12" ht="15.9" customHeight="1">
      <c r="B38" s="8" t="s">
        <v>233</v>
      </c>
      <c r="C38" s="8"/>
      <c r="D38" s="8"/>
      <c r="E38" s="8"/>
      <c r="F38" s="161" t="str">
        <f>"(sur "&amp;TEXT($E$34,"#.###,00")&amp;")"</f>
        <v>(sur 1.690,00)</v>
      </c>
      <c r="G38" s="160">
        <f>+E34*0.4</f>
        <v>676</v>
      </c>
      <c r="I38" s="58"/>
      <c r="J38" s="58"/>
      <c r="K38" s="58"/>
      <c r="L38" s="58"/>
    </row>
    <row r="39" spans="1:12" ht="15.9" customHeight="1">
      <c r="B39" s="8" t="s">
        <v>234</v>
      </c>
      <c r="C39" s="8"/>
      <c r="D39" s="8"/>
      <c r="E39" s="8"/>
      <c r="F39" s="161" t="str">
        <f>"(sur "&amp;TEXT($E$34,"#.###,00")&amp;")"</f>
        <v>(sur 1.690,00)</v>
      </c>
      <c r="G39" s="160">
        <f>+E34*0.17</f>
        <v>287.3</v>
      </c>
      <c r="I39" s="58"/>
      <c r="J39" s="58"/>
      <c r="K39" s="58"/>
      <c r="L39" s="58"/>
    </row>
    <row r="40" spans="1:12" ht="15.9" customHeight="1">
      <c r="B40" s="8"/>
      <c r="C40" s="8"/>
      <c r="D40" s="8"/>
      <c r="E40" s="8"/>
      <c r="F40" s="8"/>
      <c r="G40" s="8"/>
      <c r="I40" s="58"/>
      <c r="J40" s="58"/>
      <c r="K40" s="58"/>
      <c r="L40" s="58"/>
    </row>
    <row r="41" spans="1:12" ht="15.9" customHeight="1">
      <c r="A41" s="63"/>
      <c r="B41" s="63"/>
      <c r="C41" s="63"/>
      <c r="D41" s="63"/>
      <c r="E41" s="63"/>
      <c r="F41" s="63"/>
      <c r="G41" s="63"/>
      <c r="H41" s="63"/>
      <c r="I41" s="58"/>
      <c r="J41" s="58"/>
      <c r="K41" s="58"/>
      <c r="L41" s="58"/>
    </row>
  </sheetData>
  <sheetProtection algorithmName="SHA-512" hashValue="qRxC8nyxelUZ/wkSeoDGK2SJPheY5GAwvIzcT2RsMohbYC+knYRSfTIyQn5g15HUZbzxZP8tcwAi1SEroHuSxg==" saltValue="PLntPRnD+K21JXB/LVxleg==" spinCount="100000" sheet="1" objects="1" scenarios="1"/>
  <mergeCells count="1">
    <mergeCell ref="B2:G2"/>
  </mergeCells>
  <hyperlinks>
    <hyperlink ref="I2" location="'Home FR'!A1" tooltip="Home" display="Ç" xr:uid="{282D36EB-0340-4347-945D-EBD42E66F541}"/>
    <hyperlink ref="K2" location="'1FR'!A1" tooltip="Vorige" display="Å" xr:uid="{0B456E4D-E6EE-4613-88F5-929EE8BADD20}"/>
  </hyperlinks>
  <pageMargins left="0.78740157480314965" right="0.78740157480314965" top="0.78740157480314965" bottom="0.78740157480314965" header="0.31496062992125984" footer="0.31496062992125984"/>
  <pageSetup paperSize="9" orientation="portrait" horizontalDpi="300" verticalDpi="3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Drop Down 1">
              <controlPr defaultSize="0" autoFill="0" autoLine="0" autoPict="0">
                <anchor moveWithCells="1" sizeWithCells="1">
                  <from>
                    <xdr:col>6</xdr:col>
                    <xdr:colOff>0</xdr:colOff>
                    <xdr:row>4</xdr:row>
                    <xdr:rowOff>7620</xdr:rowOff>
                  </from>
                  <to>
                    <xdr:col>7</xdr:col>
                    <xdr:colOff>30480</xdr:colOff>
                    <xdr:row>5</xdr:row>
                    <xdr:rowOff>0</xdr:rowOff>
                  </to>
                </anchor>
              </controlPr>
            </control>
          </mc:Choice>
        </mc:AlternateContent>
        <mc:AlternateContent xmlns:mc="http://schemas.openxmlformats.org/markup-compatibility/2006">
          <mc:Choice Requires="x14">
            <control shapeId="27650" r:id="rId5" name="Drop Down 2">
              <controlPr defaultSize="0" autoFill="0" autoLine="0" autoPict="0">
                <anchor moveWithCells="1" sizeWithCells="1">
                  <from>
                    <xdr:col>6</xdr:col>
                    <xdr:colOff>0</xdr:colOff>
                    <xdr:row>5</xdr:row>
                    <xdr:rowOff>0</xdr:rowOff>
                  </from>
                  <to>
                    <xdr:col>7</xdr:col>
                    <xdr:colOff>30480</xdr:colOff>
                    <xdr:row>6</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DB04C-1697-4A8A-97EB-A68054AD43EE}">
  <sheetPr codeName="Sheet9">
    <tabColor theme="3" tint="0.79998168889431442"/>
  </sheetPr>
  <dimension ref="A2:AD44"/>
  <sheetViews>
    <sheetView showGridLines="0" showRowColHeaders="0" workbookViewId="0"/>
  </sheetViews>
  <sheetFormatPr defaultColWidth="9.125" defaultRowHeight="12"/>
  <cols>
    <col min="1" max="1" width="3" style="25" customWidth="1"/>
    <col min="2" max="2" width="3.875" style="32" customWidth="1"/>
    <col min="3" max="3" width="2.75" style="25" bestFit="1" customWidth="1"/>
    <col min="4" max="4" width="24.75" style="25" bestFit="1" customWidth="1"/>
    <col min="5" max="5" width="11.625" style="25" bestFit="1" customWidth="1"/>
    <col min="6" max="6" width="10" style="25" customWidth="1"/>
    <col min="7" max="7" width="17.25" style="25" bestFit="1" customWidth="1"/>
    <col min="8" max="8" width="11.25" style="25" customWidth="1"/>
    <col min="9" max="9" width="9.625" style="25" bestFit="1" customWidth="1"/>
    <col min="10" max="10" width="11.375" style="25" customWidth="1"/>
    <col min="11" max="11" width="7.625" style="25" bestFit="1" customWidth="1"/>
    <col min="12" max="13" width="9" style="25" customWidth="1"/>
    <col min="14" max="14" width="15.625" style="25" bestFit="1" customWidth="1"/>
    <col min="15" max="15" width="8" style="25" customWidth="1"/>
    <col min="16" max="16" width="7.625" style="25" bestFit="1" customWidth="1"/>
    <col min="17" max="20" width="9" style="25" bestFit="1" customWidth="1"/>
    <col min="21" max="21" width="5.625" style="25" bestFit="1" customWidth="1"/>
    <col min="22" max="22" width="6.125" style="25" bestFit="1" customWidth="1"/>
    <col min="23" max="23" width="6" style="25" bestFit="1" customWidth="1"/>
    <col min="24" max="24" width="11.625" style="25" bestFit="1" customWidth="1"/>
    <col min="25" max="25" width="7.125" style="25" bestFit="1" customWidth="1"/>
    <col min="26" max="26" width="7.625" style="25" bestFit="1" customWidth="1"/>
    <col min="27" max="27" width="11.25" style="25" bestFit="1" customWidth="1"/>
    <col min="28" max="28" width="7.125" style="25" bestFit="1" customWidth="1"/>
    <col min="29" max="29" width="7.625" style="25" bestFit="1" customWidth="1"/>
    <col min="30" max="30" width="10.375" style="25" bestFit="1" customWidth="1"/>
    <col min="31" max="31" width="1.875" style="25" bestFit="1" customWidth="1"/>
    <col min="32" max="16384" width="9.125" style="25"/>
  </cols>
  <sheetData>
    <row r="2" spans="1:8">
      <c r="A2" s="167" t="s">
        <v>248</v>
      </c>
      <c r="B2" s="168" t="s">
        <v>249</v>
      </c>
    </row>
    <row r="3" spans="1:8">
      <c r="D3" s="25" t="s">
        <v>53</v>
      </c>
      <c r="E3" s="25">
        <f>+E23</f>
        <v>2026</v>
      </c>
      <c r="G3" s="181">
        <f>IF(YEAR('2FR'!G11)=E3,'2FR'!G11,EOMONTH('2FR'!G11,-1)+1)</f>
        <v>36526</v>
      </c>
      <c r="H3" s="31">
        <f>DATE(E3+1,1,1)</f>
        <v>46388</v>
      </c>
    </row>
    <row r="4" spans="1:8">
      <c r="D4" s="178" t="s">
        <v>54</v>
      </c>
      <c r="E4" s="179">
        <f>+'2FR'!G12</f>
        <v>36526</v>
      </c>
      <c r="G4" s="31"/>
      <c r="H4" s="31"/>
    </row>
    <row r="5" spans="1:8">
      <c r="D5" s="178" t="s">
        <v>250</v>
      </c>
      <c r="E5" s="179">
        <f>DATE(G5,G6,G7)</f>
        <v>36526</v>
      </c>
      <c r="G5" s="178">
        <f>YEAR(G3)</f>
        <v>2000</v>
      </c>
    </row>
    <row r="6" spans="1:8">
      <c r="D6" s="25" t="s">
        <v>55</v>
      </c>
      <c r="E6" s="25">
        <f>+'2FR'!G9</f>
        <v>0</v>
      </c>
      <c r="G6" s="178">
        <f>MONTH(G3)</f>
        <v>1</v>
      </c>
    </row>
    <row r="7" spans="1:8">
      <c r="D7" s="25" t="s">
        <v>56</v>
      </c>
      <c r="E7" s="25">
        <f>+'2FR'!G10</f>
        <v>0</v>
      </c>
      <c r="G7" s="180">
        <f>DAY(G3)</f>
        <v>1</v>
      </c>
    </row>
    <row r="8" spans="1:8">
      <c r="D8" s="25" t="s">
        <v>57</v>
      </c>
      <c r="E8" s="223">
        <f>IF('2FR'!G13&gt;0,'2FR'!G13,calcFR!H3)</f>
        <v>46388</v>
      </c>
    </row>
    <row r="10" spans="1:8">
      <c r="B10" s="177">
        <v>7</v>
      </c>
      <c r="C10" s="26">
        <v>1</v>
      </c>
      <c r="D10" s="27" t="s">
        <v>4</v>
      </c>
    </row>
    <row r="11" spans="1:8">
      <c r="C11" s="26">
        <v>2</v>
      </c>
      <c r="D11" s="27" t="s">
        <v>41</v>
      </c>
    </row>
    <row r="12" spans="1:8">
      <c r="C12" s="26">
        <v>3</v>
      </c>
      <c r="D12" s="27" t="s">
        <v>42</v>
      </c>
    </row>
    <row r="13" spans="1:8">
      <c r="C13" s="26">
        <v>4</v>
      </c>
      <c r="D13" s="27" t="s">
        <v>192</v>
      </c>
    </row>
    <row r="14" spans="1:8" ht="12" customHeight="1">
      <c r="C14" s="26">
        <v>5</v>
      </c>
      <c r="D14" s="27" t="s">
        <v>193</v>
      </c>
    </row>
    <row r="15" spans="1:8">
      <c r="C15" s="26">
        <v>6</v>
      </c>
      <c r="D15" s="27" t="s">
        <v>194</v>
      </c>
    </row>
    <row r="16" spans="1:8">
      <c r="C16" s="26">
        <v>7</v>
      </c>
      <c r="D16" s="27" t="s">
        <v>195</v>
      </c>
    </row>
    <row r="17" spans="2:30">
      <c r="C17" s="26">
        <v>8</v>
      </c>
      <c r="D17" s="27" t="s">
        <v>23</v>
      </c>
    </row>
    <row r="18" spans="2:30">
      <c r="C18" s="26">
        <v>9</v>
      </c>
      <c r="D18" s="27" t="s">
        <v>196</v>
      </c>
    </row>
    <row r="19" spans="2:30">
      <c r="C19" s="26">
        <v>10</v>
      </c>
      <c r="D19" s="27" t="s">
        <v>197</v>
      </c>
    </row>
    <row r="21" spans="2:30">
      <c r="J21" s="30" t="s">
        <v>25</v>
      </c>
      <c r="K21" s="30" t="s">
        <v>24</v>
      </c>
      <c r="L21" s="30" t="s">
        <v>25</v>
      </c>
      <c r="M21" s="30" t="s">
        <v>24</v>
      </c>
    </row>
    <row r="22" spans="2:30" ht="14.4">
      <c r="B22" s="177">
        <v>1</v>
      </c>
      <c r="D22" s="25" t="s">
        <v>66</v>
      </c>
      <c r="E22" s="26" t="s">
        <v>27</v>
      </c>
      <c r="F22" s="26" t="s">
        <v>47</v>
      </c>
      <c r="G22" s="26" t="s">
        <v>28</v>
      </c>
      <c r="H22" s="26" t="s">
        <v>38</v>
      </c>
      <c r="I22" s="26" t="s">
        <v>39</v>
      </c>
      <c r="J22" s="257" t="s">
        <v>31</v>
      </c>
      <c r="K22" s="257"/>
      <c r="L22" s="257" t="s">
        <v>79</v>
      </c>
      <c r="M22" s="257"/>
      <c r="N22" s="26" t="s">
        <v>40</v>
      </c>
      <c r="O22" s="26" t="s">
        <v>32</v>
      </c>
      <c r="P22" s="26" t="s">
        <v>72</v>
      </c>
      <c r="Q22" s="25" t="s">
        <v>60</v>
      </c>
      <c r="R22" s="25" t="s">
        <v>51</v>
      </c>
      <c r="S22" s="25" t="s">
        <v>61</v>
      </c>
      <c r="T22" s="25" t="s">
        <v>62</v>
      </c>
      <c r="U22" s="25" t="s">
        <v>52</v>
      </c>
      <c r="V22" s="25" t="s">
        <v>49</v>
      </c>
      <c r="W22" s="25" t="s">
        <v>63</v>
      </c>
      <c r="X22" s="25" t="s">
        <v>64</v>
      </c>
      <c r="Y22" s="25" t="s">
        <v>65</v>
      </c>
      <c r="Z22" s="25" t="s">
        <v>58</v>
      </c>
      <c r="AA22" s="25" t="s">
        <v>48</v>
      </c>
      <c r="AB22" s="25" t="s">
        <v>59</v>
      </c>
      <c r="AC22" s="25" t="s">
        <v>58</v>
      </c>
      <c r="AD22" s="25" t="s">
        <v>48</v>
      </c>
    </row>
    <row r="23" spans="2:30">
      <c r="D23" s="52" cm="1">
        <f t="array" ref="D23">INDEX(D24:D27,$B$22)</f>
        <v>1183</v>
      </c>
      <c r="E23" s="40" cm="1">
        <f t="array" ref="E23">INDEX(E24:E27,$B$22)</f>
        <v>2026</v>
      </c>
      <c r="F23" s="41" cm="1">
        <f t="array" ref="F23">INDEX(F24:F27,$B$22)</f>
        <v>5.5E-2</v>
      </c>
      <c r="G23" s="42" cm="1">
        <f t="array" ref="G23">INDEX(G24:G27,$B$22)</f>
        <v>1E-3</v>
      </c>
      <c r="H23" s="43" cm="1">
        <f t="array" ref="H23">INDEX(H24:H27,$B$22)</f>
        <v>0.04</v>
      </c>
      <c r="I23" s="43" cm="1">
        <f t="array" ref="I23">INDEX(I24:I27,$B$22)</f>
        <v>0.18</v>
      </c>
      <c r="J23" s="40" cm="1">
        <f t="array" ref="J23">INDEX(J24:J27,$B$22)</f>
        <v>70</v>
      </c>
      <c r="K23" s="40" cm="1">
        <f t="array" ref="K23">INDEX(K24:K27,$B$22)</f>
        <v>58</v>
      </c>
      <c r="L23" s="40" cm="1">
        <f t="array" ref="L23">INDEX(L24:L27,$B$22)</f>
        <v>205</v>
      </c>
      <c r="M23" s="40" cm="1">
        <f t="array" ref="M23">INDEX(M24:M27,$B$22)</f>
        <v>195</v>
      </c>
      <c r="N23" s="44" cm="1">
        <f t="array" ref="N23">INDEX(N24:N27,$B$22)</f>
        <v>1690</v>
      </c>
      <c r="O23" s="44" cm="1">
        <f t="array" ref="O23">INDEX(O24:O27,$B$22)</f>
        <v>1690</v>
      </c>
      <c r="P23" s="42" cm="1">
        <f t="array" ref="P23">INDEX(P24:P27,$B$22)</f>
        <v>0.04</v>
      </c>
      <c r="Q23" s="45" cm="1">
        <f t="array" ref="Q23">INDEX(Q24:Q27,$B$22)</f>
        <v>1690</v>
      </c>
      <c r="R23" s="46" cm="1">
        <f t="array" ref="R23">INDEX(R24:R27,$B$22)</f>
        <v>46023</v>
      </c>
      <c r="S23" s="46" cm="1">
        <f t="array" ref="S23">INDEX(S24:S27,$B$22)</f>
        <v>46023</v>
      </c>
      <c r="T23" s="46" cm="1">
        <f t="array" ref="T23">INDEX(T24:T27,$B$22)</f>
        <v>46387</v>
      </c>
      <c r="U23" s="47" cm="1">
        <f t="array" ref="U23">INDEX(U24:U27,$B$22)</f>
        <v>365</v>
      </c>
      <c r="V23" s="48" cm="1">
        <f t="array" ref="V23">INDEX(V24:V27,$B$22)</f>
        <v>365</v>
      </c>
      <c r="W23" s="47" cm="1">
        <f t="array" ref="W23">INDEX(W24:W27,$B$22)</f>
        <v>0</v>
      </c>
      <c r="X23" s="49" cm="1">
        <f t="array" ref="X23">INDEX(X24:X27,$B$22)</f>
        <v>365</v>
      </c>
      <c r="Y23" s="50" cm="1">
        <f t="array" ref="Y23">INDEX(Y24:Y27,$B$22)</f>
        <v>25</v>
      </c>
      <c r="Z23" s="51" cm="1">
        <f t="array" ref="Z23">INDEX(Z24:Z27,$B$22)</f>
        <v>0.7</v>
      </c>
      <c r="AA23" s="52" cm="1">
        <f t="array" ref="AA23">INDEX(AA24:AA27,$B$22)</f>
        <v>0</v>
      </c>
      <c r="AB23" s="50" cm="1">
        <f t="array" ref="AB23">INDEX(AB24:AB27,$B$22)</f>
        <v>26</v>
      </c>
      <c r="AC23" s="51" cm="1">
        <f t="array" ref="AC23">INDEX(AC24:AC27,$B$22)</f>
        <v>0.7</v>
      </c>
      <c r="AD23" s="52" cm="1">
        <f t="array" ref="AD23">INDEX(AD24:AD27,$B$22)</f>
        <v>1183</v>
      </c>
    </row>
    <row r="24" spans="2:30">
      <c r="D24" s="39">
        <f>+AD24+AA24</f>
        <v>1183</v>
      </c>
      <c r="E24" s="183">
        <v>2026</v>
      </c>
      <c r="F24" s="76">
        <v>5.5E-2</v>
      </c>
      <c r="G24" s="77">
        <v>1E-3</v>
      </c>
      <c r="H24" s="78">
        <v>0.04</v>
      </c>
      <c r="I24" s="78">
        <v>0.18</v>
      </c>
      <c r="J24" s="183">
        <v>70</v>
      </c>
      <c r="K24" s="183">
        <v>58</v>
      </c>
      <c r="L24" s="75">
        <v>205</v>
      </c>
      <c r="M24" s="75">
        <v>195</v>
      </c>
      <c r="N24" s="184">
        <v>1690</v>
      </c>
      <c r="O24" s="28">
        <f>+N24*V24/U24</f>
        <v>1690</v>
      </c>
      <c r="P24" s="53">
        <f>MIN(I24,MAX(H24,F24+($E$6-IF($B$10&lt;4,K24,J24))*G24))</f>
        <v>0.04</v>
      </c>
      <c r="Q24" s="29">
        <f>MAX(N24,MIN(I24,MAX(H24,F24+($E$6-IF($B$10&lt;4,K24,J24))*G24))*$E$7*6/7)</f>
        <v>1690</v>
      </c>
      <c r="R24" s="31">
        <f>MAX($E$5,DATE(E24,$G$6,$G$7))</f>
        <v>46023</v>
      </c>
      <c r="S24" s="31">
        <f>IF(YEAR($E$4)=E24,$E$4,DATE(E24,1,1))</f>
        <v>46023</v>
      </c>
      <c r="T24" s="31">
        <f>MIN($E$8-1,DATE(E24,12,31))</f>
        <v>46387</v>
      </c>
      <c r="U24" s="37">
        <f>_xlfn.DAYS(DATE(E24,12,31),DATE(E24,1,1))+1</f>
        <v>365</v>
      </c>
      <c r="V24" s="36">
        <f>_xlfn.DAYS(T24,S24)+1</f>
        <v>365</v>
      </c>
      <c r="W24" s="37">
        <f>MAX(0,MIN(V24,_xlfn.DAYS(R24,S24)))</f>
        <v>0</v>
      </c>
      <c r="X24" s="38">
        <f>MAX(0,_xlfn.DAYS(T24,R24)+1)</f>
        <v>365</v>
      </c>
      <c r="Y24" s="25">
        <f>MAX(0,IF(E24&lt;$G$5,0,YEARFRAC(R24,$E$5))-1)</f>
        <v>25</v>
      </c>
      <c r="Z24" s="33">
        <f>MAX(70%,100%-Y24*6%)</f>
        <v>0.7</v>
      </c>
      <c r="AA24" s="39">
        <f>+Q24*W24/U24*Z24</f>
        <v>0</v>
      </c>
      <c r="AB24" s="25">
        <f>IF(E24&lt;$G$5,0,YEARFRAC(R24,$E$5))</f>
        <v>26</v>
      </c>
      <c r="AC24" s="33">
        <f>MAX(70%,100%-AB24*6%)</f>
        <v>0.7</v>
      </c>
      <c r="AD24" s="39">
        <f>+Q24*X24/U24*AC24</f>
        <v>1183</v>
      </c>
    </row>
    <row r="25" spans="2:30">
      <c r="D25" s="39">
        <f>+AD25+AA25</f>
        <v>1155</v>
      </c>
      <c r="E25" s="183">
        <v>2025</v>
      </c>
      <c r="F25" s="76">
        <v>5.5E-2</v>
      </c>
      <c r="G25" s="77">
        <v>1E-3</v>
      </c>
      <c r="H25" s="78">
        <v>0.04</v>
      </c>
      <c r="I25" s="78">
        <v>0.18</v>
      </c>
      <c r="J25" s="183">
        <v>71</v>
      </c>
      <c r="K25" s="183">
        <v>59</v>
      </c>
      <c r="L25" s="75">
        <v>205</v>
      </c>
      <c r="M25" s="75">
        <v>195</v>
      </c>
      <c r="N25" s="184">
        <v>1650</v>
      </c>
      <c r="O25" s="28">
        <f>+N25*V25/U25</f>
        <v>1650</v>
      </c>
      <c r="P25" s="53">
        <f>MIN(I25,MAX(H25,F25+($E$6-IF($B$10&lt;4,K25,J25))*G25))</f>
        <v>0.04</v>
      </c>
      <c r="Q25" s="29">
        <f>MAX(N25,MIN(I25,MAX(H25,F25+($E$6-IF($B$10&lt;4,K25,J25))*G25))*$E$7*6/7)</f>
        <v>1650</v>
      </c>
      <c r="R25" s="31">
        <f>MAX($E$5,DATE(E25,$G$6,$G$7))</f>
        <v>45658</v>
      </c>
      <c r="S25" s="31">
        <f>IF(YEAR($E$4)=E25,$E$4,DATE(E25,1,1))</f>
        <v>45658</v>
      </c>
      <c r="T25" s="31">
        <f>MIN($E$8-1,DATE(E25,12,31))</f>
        <v>46022</v>
      </c>
      <c r="U25" s="37">
        <f>_xlfn.DAYS(DATE(E25,12,31),DATE(E25,1,1))+1</f>
        <v>365</v>
      </c>
      <c r="V25" s="36">
        <f>_xlfn.DAYS(T25,S25)+1</f>
        <v>365</v>
      </c>
      <c r="W25" s="37">
        <f>MAX(0,MIN(V25,_xlfn.DAYS(R25,S25)))</f>
        <v>0</v>
      </c>
      <c r="X25" s="38">
        <f>MAX(0,_xlfn.DAYS(T25,R25)+1)</f>
        <v>365</v>
      </c>
      <c r="Y25" s="25">
        <f>MAX(0,IF(E25&lt;$G$5,0,YEARFRAC(R25,$E$5))-1)</f>
        <v>24</v>
      </c>
      <c r="Z25" s="33">
        <f>MAX(70%,100%-Y25*6%)</f>
        <v>0.7</v>
      </c>
      <c r="AA25" s="39">
        <f>+Q25*W25/U25*Z25</f>
        <v>0</v>
      </c>
      <c r="AB25" s="25">
        <f>IF(E25&lt;$G$5,0,YEARFRAC(R25,$E$5))</f>
        <v>25</v>
      </c>
      <c r="AC25" s="33">
        <f>MAX(70%,100%-AB25*6%)</f>
        <v>0.7</v>
      </c>
      <c r="AD25" s="39">
        <f>+Q25*X25/U25*AC25</f>
        <v>1155</v>
      </c>
    </row>
    <row r="26" spans="2:30">
      <c r="D26" s="39">
        <f>+AD26+AA26</f>
        <v>1120</v>
      </c>
      <c r="E26" s="183">
        <v>2024</v>
      </c>
      <c r="F26" s="76">
        <v>5.5E-2</v>
      </c>
      <c r="G26" s="77">
        <v>1E-3</v>
      </c>
      <c r="H26" s="78">
        <v>0.04</v>
      </c>
      <c r="I26" s="78">
        <v>0.18</v>
      </c>
      <c r="J26" s="183">
        <v>78</v>
      </c>
      <c r="K26" s="183">
        <v>65</v>
      </c>
      <c r="L26" s="75">
        <v>205</v>
      </c>
      <c r="M26" s="75">
        <v>195</v>
      </c>
      <c r="N26" s="184">
        <v>1600</v>
      </c>
      <c r="O26" s="28">
        <f>+N26*V26/U26</f>
        <v>1600</v>
      </c>
      <c r="P26" s="53">
        <f>MIN(I26,MAX(H26,F26+($E$6-IF($B$10&lt;4,K26,J26))*G26))</f>
        <v>0.04</v>
      </c>
      <c r="Q26" s="29">
        <f>MAX(N26,MIN(I26,MAX(H26,F26+($E$6-IF($B$10&lt;4,K26,J26))*G26))*$E$7*6/7)</f>
        <v>1600</v>
      </c>
      <c r="R26" s="31">
        <f>MAX($E$5,DATE(E26,$G$6,$G$7))</f>
        <v>45292</v>
      </c>
      <c r="S26" s="31">
        <f>IF(YEAR($E$4)=E26,$E$4,DATE(E26,1,1))</f>
        <v>45292</v>
      </c>
      <c r="T26" s="31">
        <f>MIN($E$8-1,DATE(E26,12,31))</f>
        <v>45657</v>
      </c>
      <c r="U26" s="37">
        <f>_xlfn.DAYS(DATE(E26,12,31),DATE(E26,1,1))+1</f>
        <v>366</v>
      </c>
      <c r="V26" s="36">
        <f>_xlfn.DAYS(T26,S26)+1</f>
        <v>366</v>
      </c>
      <c r="W26" s="37">
        <f>MAX(0,MIN(V26,_xlfn.DAYS(R26,S26)))</f>
        <v>0</v>
      </c>
      <c r="X26" s="38">
        <f>MAX(0,_xlfn.DAYS(T26,R26)+1)</f>
        <v>366</v>
      </c>
      <c r="Y26" s="25">
        <f>MAX(0,IF(E26&lt;$G$5,0,YEARFRAC(R26,$E$5))-1)</f>
        <v>23</v>
      </c>
      <c r="Z26" s="33">
        <f>MAX(70%,100%-Y26*6%)</f>
        <v>0.7</v>
      </c>
      <c r="AA26" s="39">
        <f>+Q26*W26/U26*Z26</f>
        <v>0</v>
      </c>
      <c r="AB26" s="25">
        <f>IF(E26&lt;$G$5,0,YEARFRAC(R26,$E$5))</f>
        <v>24</v>
      </c>
      <c r="AC26" s="33">
        <f>MAX(70%,100%-AB26*6%)</f>
        <v>0.7</v>
      </c>
      <c r="AD26" s="39">
        <f>+Q26*X26/U26*AC26</f>
        <v>1120</v>
      </c>
    </row>
    <row r="27" spans="2:30">
      <c r="D27" s="39">
        <f>+AD27+AA27</f>
        <v>1078</v>
      </c>
      <c r="E27" s="183">
        <v>2023</v>
      </c>
      <c r="F27" s="76">
        <v>5.5E-2</v>
      </c>
      <c r="G27" s="77">
        <v>1E-3</v>
      </c>
      <c r="H27" s="78">
        <v>0.04</v>
      </c>
      <c r="I27" s="78">
        <v>0.18</v>
      </c>
      <c r="J27" s="183">
        <v>82</v>
      </c>
      <c r="K27" s="183">
        <v>67</v>
      </c>
      <c r="L27" s="75">
        <v>205</v>
      </c>
      <c r="M27" s="75">
        <v>195</v>
      </c>
      <c r="N27" s="184">
        <v>1540</v>
      </c>
      <c r="O27" s="28">
        <f>+N27*V27/U27</f>
        <v>1540</v>
      </c>
      <c r="P27" s="53">
        <f>MIN(I27,MAX(H27,F27+($E$6-IF($B$10&lt;4,K27,J27))*G27))</f>
        <v>0.04</v>
      </c>
      <c r="Q27" s="29">
        <f>MAX(N27,MIN(I27,MAX(H27,F27+($E$6-IF($B$10&lt;4,K27,J27))*G27))*$E$7*6/7)</f>
        <v>1540</v>
      </c>
      <c r="R27" s="31">
        <f>MAX($E$5,DATE(E27,$G$6,$G$7))</f>
        <v>44927</v>
      </c>
      <c r="S27" s="31">
        <f>IF(YEAR($E$4)=E27,$E$4,DATE(E27,1,1))</f>
        <v>44927</v>
      </c>
      <c r="T27" s="31">
        <f>MIN($E$8-1,DATE(E27,12,31))</f>
        <v>45291</v>
      </c>
      <c r="U27" s="37">
        <f>_xlfn.DAYS(DATE(E27,12,31),DATE(E27,1,1))+1</f>
        <v>365</v>
      </c>
      <c r="V27" s="36">
        <f>_xlfn.DAYS(T27,S27)+1</f>
        <v>365</v>
      </c>
      <c r="W27" s="37">
        <f>MAX(0,MIN(V27,_xlfn.DAYS(R27,S27)))</f>
        <v>0</v>
      </c>
      <c r="X27" s="38">
        <f>MAX(0,_xlfn.DAYS(T27,R27)+1)</f>
        <v>365</v>
      </c>
      <c r="Y27" s="25">
        <f>MAX(0,IF(E27&lt;$G$5,0,YEARFRAC(R27,$E$5))-1)</f>
        <v>22</v>
      </c>
      <c r="Z27" s="33">
        <f>MAX(70%,100%-Y27*6%)</f>
        <v>0.7</v>
      </c>
      <c r="AA27" s="39">
        <f>+Q27*W27/U27*Z27</f>
        <v>0</v>
      </c>
      <c r="AB27" s="25">
        <f>IF(E27&lt;$G$5,0,YEARFRAC(R27,$E$5))</f>
        <v>23</v>
      </c>
      <c r="AC27" s="33">
        <f>MAX(70%,100%-AB27*6%)</f>
        <v>0.7</v>
      </c>
      <c r="AD27" s="39">
        <f>+Q27*X27/U27*AC27</f>
        <v>1078</v>
      </c>
    </row>
    <row r="28" spans="2:30">
      <c r="U28" s="36"/>
    </row>
    <row r="30" spans="2:30">
      <c r="E30" s="25" t="s">
        <v>74</v>
      </c>
      <c r="F30" s="25" t="s">
        <v>75</v>
      </c>
      <c r="G30" s="25" t="s">
        <v>49</v>
      </c>
      <c r="H30" s="25" t="s">
        <v>63</v>
      </c>
      <c r="I30" s="25" t="s">
        <v>76</v>
      </c>
      <c r="J30" s="25" t="s">
        <v>77</v>
      </c>
      <c r="K30" s="25" t="s">
        <v>78</v>
      </c>
      <c r="L30" s="25" t="s">
        <v>86</v>
      </c>
      <c r="M30" s="25" t="s">
        <v>50</v>
      </c>
      <c r="N30" s="25" t="s">
        <v>239</v>
      </c>
      <c r="O30" s="25" t="s">
        <v>48</v>
      </c>
    </row>
    <row r="31" spans="2:30">
      <c r="D31" s="25">
        <v>1</v>
      </c>
      <c r="E31" s="179">
        <f t="shared" ref="E31:E42" si="0">MIN($E$8,MAX($E$4,DATE($E$23,D31,1)))</f>
        <v>46023</v>
      </c>
      <c r="F31" s="179">
        <f t="shared" ref="F31:F42" si="1">MAX($E$4-1,MIN($E$8-1,EOMONTH(DATE($E$23,D31,1),0)))</f>
        <v>46053</v>
      </c>
      <c r="G31" s="37">
        <f>MAX(0,_xlfn.DAYS(F31,E31)+1)</f>
        <v>31</v>
      </c>
      <c r="H31" s="66">
        <f t="shared" ref="H31:H42" si="2">MAX(0,_xlfn.DAYS(MIN($R$23-1,F31),E31)+1)</f>
        <v>0</v>
      </c>
      <c r="I31" s="66">
        <f t="shared" ref="I31:I42" si="3">MAX(0,_xlfn.DAYS(F31,MAX(E31,$R$23)-1))</f>
        <v>31</v>
      </c>
      <c r="J31" s="33">
        <f>+Z23</f>
        <v>0.7</v>
      </c>
      <c r="K31" s="33">
        <f>+AC23</f>
        <v>0.7</v>
      </c>
      <c r="L31" s="34">
        <f t="shared" ref="L31:L42" si="4">+G31/$G$43*$O$23</f>
        <v>143.53424657534245</v>
      </c>
      <c r="M31" s="35">
        <f t="shared" ref="M31:M42" si="5">(J31*H31+I31*K31)/(H31+I31)</f>
        <v>0.7</v>
      </c>
      <c r="N31" s="25">
        <f>IF(L31=0,0,+'2FR'!$G$14)</f>
        <v>0</v>
      </c>
      <c r="O31" s="39">
        <f>MAX(0,MAX(L31,+H31/$U$23*J31*$Q$23+I31/$U$23*K31*$Q$23)-N31)</f>
        <v>143.53424657534245</v>
      </c>
    </row>
    <row r="32" spans="2:30">
      <c r="D32" s="25">
        <v>2</v>
      </c>
      <c r="E32" s="179">
        <f t="shared" si="0"/>
        <v>46054</v>
      </c>
      <c r="F32" s="179">
        <f t="shared" si="1"/>
        <v>46081</v>
      </c>
      <c r="G32" s="37">
        <f t="shared" ref="G32:G42" si="6">MAX(0,_xlfn.DAYS(F32,E32)+1)</f>
        <v>28</v>
      </c>
      <c r="H32" s="66">
        <f t="shared" si="2"/>
        <v>0</v>
      </c>
      <c r="I32" s="66">
        <f t="shared" si="3"/>
        <v>28</v>
      </c>
      <c r="J32" s="33">
        <f>+J31</f>
        <v>0.7</v>
      </c>
      <c r="K32" s="33">
        <f>+K31</f>
        <v>0.7</v>
      </c>
      <c r="L32" s="34">
        <f t="shared" si="4"/>
        <v>129.64383561643837</v>
      </c>
      <c r="M32" s="35">
        <f t="shared" si="5"/>
        <v>0.7</v>
      </c>
      <c r="N32" s="25">
        <f>IF(L32=0,0,+'2FR'!$G$14)</f>
        <v>0</v>
      </c>
      <c r="O32" s="39">
        <f t="shared" ref="O32:O42" si="7">MAX(0,MAX(L32,+H32/$U$23*J32*$Q$23+I32/$U$23*K32*$Q$23)-N32)</f>
        <v>129.64383561643837</v>
      </c>
    </row>
    <row r="33" spans="4:15">
      <c r="D33" s="25">
        <v>3</v>
      </c>
      <c r="E33" s="179">
        <f t="shared" si="0"/>
        <v>46082</v>
      </c>
      <c r="F33" s="179">
        <f t="shared" si="1"/>
        <v>46112</v>
      </c>
      <c r="G33" s="37">
        <f t="shared" si="6"/>
        <v>31</v>
      </c>
      <c r="H33" s="66">
        <f t="shared" si="2"/>
        <v>0</v>
      </c>
      <c r="I33" s="66">
        <f t="shared" si="3"/>
        <v>31</v>
      </c>
      <c r="J33" s="33">
        <f t="shared" ref="J33:K42" si="8">+J32</f>
        <v>0.7</v>
      </c>
      <c r="K33" s="33">
        <f t="shared" si="8"/>
        <v>0.7</v>
      </c>
      <c r="L33" s="34">
        <f t="shared" si="4"/>
        <v>143.53424657534245</v>
      </c>
      <c r="M33" s="35">
        <f t="shared" si="5"/>
        <v>0.7</v>
      </c>
      <c r="N33" s="25">
        <f>IF(L33=0,0,+'2FR'!$G$14)</f>
        <v>0</v>
      </c>
      <c r="O33" s="39">
        <f t="shared" si="7"/>
        <v>143.53424657534245</v>
      </c>
    </row>
    <row r="34" spans="4:15">
      <c r="D34" s="25">
        <v>4</v>
      </c>
      <c r="E34" s="179">
        <f t="shared" si="0"/>
        <v>46113</v>
      </c>
      <c r="F34" s="179">
        <f t="shared" si="1"/>
        <v>46142</v>
      </c>
      <c r="G34" s="37">
        <f t="shared" si="6"/>
        <v>30</v>
      </c>
      <c r="H34" s="66">
        <f t="shared" si="2"/>
        <v>0</v>
      </c>
      <c r="I34" s="66">
        <f t="shared" si="3"/>
        <v>30</v>
      </c>
      <c r="J34" s="33">
        <f t="shared" si="8"/>
        <v>0.7</v>
      </c>
      <c r="K34" s="33">
        <f t="shared" si="8"/>
        <v>0.7</v>
      </c>
      <c r="L34" s="34">
        <f t="shared" si="4"/>
        <v>138.9041095890411</v>
      </c>
      <c r="M34" s="35">
        <f t="shared" si="5"/>
        <v>0.7</v>
      </c>
      <c r="N34" s="25">
        <f>IF(L34=0,0,+'2FR'!$G$14)</f>
        <v>0</v>
      </c>
      <c r="O34" s="39">
        <f t="shared" si="7"/>
        <v>138.9041095890411</v>
      </c>
    </row>
    <row r="35" spans="4:15">
      <c r="D35" s="25">
        <v>5</v>
      </c>
      <c r="E35" s="179">
        <f t="shared" si="0"/>
        <v>46143</v>
      </c>
      <c r="F35" s="179">
        <f t="shared" si="1"/>
        <v>46173</v>
      </c>
      <c r="G35" s="37">
        <f t="shared" si="6"/>
        <v>31</v>
      </c>
      <c r="H35" s="66">
        <f t="shared" si="2"/>
        <v>0</v>
      </c>
      <c r="I35" s="66">
        <f t="shared" si="3"/>
        <v>31</v>
      </c>
      <c r="J35" s="33">
        <f t="shared" si="8"/>
        <v>0.7</v>
      </c>
      <c r="K35" s="33">
        <f t="shared" si="8"/>
        <v>0.7</v>
      </c>
      <c r="L35" s="34">
        <f t="shared" si="4"/>
        <v>143.53424657534245</v>
      </c>
      <c r="M35" s="35">
        <f t="shared" si="5"/>
        <v>0.7</v>
      </c>
      <c r="N35" s="25">
        <f>IF(L35=0,0,+'2FR'!$G$14)</f>
        <v>0</v>
      </c>
      <c r="O35" s="39">
        <f t="shared" si="7"/>
        <v>143.53424657534245</v>
      </c>
    </row>
    <row r="36" spans="4:15">
      <c r="D36" s="25">
        <v>6</v>
      </c>
      <c r="E36" s="179">
        <f t="shared" si="0"/>
        <v>46174</v>
      </c>
      <c r="F36" s="179">
        <f t="shared" si="1"/>
        <v>46203</v>
      </c>
      <c r="G36" s="37">
        <f t="shared" si="6"/>
        <v>30</v>
      </c>
      <c r="H36" s="66">
        <f t="shared" si="2"/>
        <v>0</v>
      </c>
      <c r="I36" s="66">
        <f t="shared" si="3"/>
        <v>30</v>
      </c>
      <c r="J36" s="33">
        <f t="shared" si="8"/>
        <v>0.7</v>
      </c>
      <c r="K36" s="33">
        <f t="shared" si="8"/>
        <v>0.7</v>
      </c>
      <c r="L36" s="34">
        <f t="shared" si="4"/>
        <v>138.9041095890411</v>
      </c>
      <c r="M36" s="35">
        <f t="shared" si="5"/>
        <v>0.7</v>
      </c>
      <c r="N36" s="25">
        <f>IF(L36=0,0,+'2FR'!$G$14)</f>
        <v>0</v>
      </c>
      <c r="O36" s="39">
        <f t="shared" si="7"/>
        <v>138.9041095890411</v>
      </c>
    </row>
    <row r="37" spans="4:15">
      <c r="D37" s="25">
        <v>7</v>
      </c>
      <c r="E37" s="179">
        <f t="shared" si="0"/>
        <v>46204</v>
      </c>
      <c r="F37" s="179">
        <f t="shared" si="1"/>
        <v>46234</v>
      </c>
      <c r="G37" s="37">
        <f t="shared" si="6"/>
        <v>31</v>
      </c>
      <c r="H37" s="66">
        <f t="shared" si="2"/>
        <v>0</v>
      </c>
      <c r="I37" s="66">
        <f t="shared" si="3"/>
        <v>31</v>
      </c>
      <c r="J37" s="33">
        <f t="shared" si="8"/>
        <v>0.7</v>
      </c>
      <c r="K37" s="33">
        <f t="shared" si="8"/>
        <v>0.7</v>
      </c>
      <c r="L37" s="34">
        <f t="shared" si="4"/>
        <v>143.53424657534245</v>
      </c>
      <c r="M37" s="35">
        <f t="shared" si="5"/>
        <v>0.7</v>
      </c>
      <c r="N37" s="25">
        <f>IF(L37=0,0,+'2FR'!$G$14)</f>
        <v>0</v>
      </c>
      <c r="O37" s="39">
        <f t="shared" si="7"/>
        <v>143.53424657534245</v>
      </c>
    </row>
    <row r="38" spans="4:15">
      <c r="D38" s="25">
        <v>8</v>
      </c>
      <c r="E38" s="179">
        <f t="shared" si="0"/>
        <v>46235</v>
      </c>
      <c r="F38" s="179">
        <f t="shared" si="1"/>
        <v>46265</v>
      </c>
      <c r="G38" s="37">
        <f t="shared" si="6"/>
        <v>31</v>
      </c>
      <c r="H38" s="66">
        <f t="shared" si="2"/>
        <v>0</v>
      </c>
      <c r="I38" s="66">
        <f t="shared" si="3"/>
        <v>31</v>
      </c>
      <c r="J38" s="33">
        <f t="shared" si="8"/>
        <v>0.7</v>
      </c>
      <c r="K38" s="33">
        <f t="shared" si="8"/>
        <v>0.7</v>
      </c>
      <c r="L38" s="34">
        <f t="shared" si="4"/>
        <v>143.53424657534245</v>
      </c>
      <c r="M38" s="35">
        <f t="shared" si="5"/>
        <v>0.7</v>
      </c>
      <c r="N38" s="25">
        <f>IF(L38=0,0,+'2FR'!$G$14)</f>
        <v>0</v>
      </c>
      <c r="O38" s="39">
        <f t="shared" si="7"/>
        <v>143.53424657534245</v>
      </c>
    </row>
    <row r="39" spans="4:15">
      <c r="D39" s="25">
        <v>9</v>
      </c>
      <c r="E39" s="179">
        <f t="shared" si="0"/>
        <v>46266</v>
      </c>
      <c r="F39" s="179">
        <f t="shared" si="1"/>
        <v>46295</v>
      </c>
      <c r="G39" s="37">
        <f t="shared" si="6"/>
        <v>30</v>
      </c>
      <c r="H39" s="66">
        <f t="shared" si="2"/>
        <v>0</v>
      </c>
      <c r="I39" s="66">
        <f t="shared" si="3"/>
        <v>30</v>
      </c>
      <c r="J39" s="33">
        <f t="shared" si="8"/>
        <v>0.7</v>
      </c>
      <c r="K39" s="33">
        <f t="shared" si="8"/>
        <v>0.7</v>
      </c>
      <c r="L39" s="34">
        <f t="shared" si="4"/>
        <v>138.9041095890411</v>
      </c>
      <c r="M39" s="35">
        <f t="shared" si="5"/>
        <v>0.7</v>
      </c>
      <c r="N39" s="25">
        <f>IF(L39=0,0,+'2FR'!$G$14)</f>
        <v>0</v>
      </c>
      <c r="O39" s="39">
        <f t="shared" si="7"/>
        <v>138.9041095890411</v>
      </c>
    </row>
    <row r="40" spans="4:15">
      <c r="D40" s="25">
        <v>10</v>
      </c>
      <c r="E40" s="179">
        <f t="shared" si="0"/>
        <v>46296</v>
      </c>
      <c r="F40" s="179">
        <f t="shared" si="1"/>
        <v>46326</v>
      </c>
      <c r="G40" s="37">
        <f t="shared" si="6"/>
        <v>31</v>
      </c>
      <c r="H40" s="66">
        <f t="shared" si="2"/>
        <v>0</v>
      </c>
      <c r="I40" s="66">
        <f t="shared" si="3"/>
        <v>31</v>
      </c>
      <c r="J40" s="33">
        <f t="shared" si="8"/>
        <v>0.7</v>
      </c>
      <c r="K40" s="33">
        <f t="shared" si="8"/>
        <v>0.7</v>
      </c>
      <c r="L40" s="34">
        <f t="shared" si="4"/>
        <v>143.53424657534245</v>
      </c>
      <c r="M40" s="35">
        <f t="shared" si="5"/>
        <v>0.7</v>
      </c>
      <c r="N40" s="25">
        <f>IF(L40=0,0,+'2FR'!$G$14)</f>
        <v>0</v>
      </c>
      <c r="O40" s="39">
        <f t="shared" si="7"/>
        <v>143.53424657534245</v>
      </c>
    </row>
    <row r="41" spans="4:15">
      <c r="D41" s="25">
        <v>11</v>
      </c>
      <c r="E41" s="179">
        <f t="shared" si="0"/>
        <v>46327</v>
      </c>
      <c r="F41" s="179">
        <f t="shared" si="1"/>
        <v>46356</v>
      </c>
      <c r="G41" s="37">
        <f t="shared" si="6"/>
        <v>30</v>
      </c>
      <c r="H41" s="66">
        <f t="shared" si="2"/>
        <v>0</v>
      </c>
      <c r="I41" s="66">
        <f t="shared" si="3"/>
        <v>30</v>
      </c>
      <c r="J41" s="33">
        <f t="shared" si="8"/>
        <v>0.7</v>
      </c>
      <c r="K41" s="33">
        <f t="shared" si="8"/>
        <v>0.7</v>
      </c>
      <c r="L41" s="34">
        <f t="shared" si="4"/>
        <v>138.9041095890411</v>
      </c>
      <c r="M41" s="35">
        <f t="shared" si="5"/>
        <v>0.7</v>
      </c>
      <c r="N41" s="25">
        <f>IF(L41=0,0,+'2FR'!$G$14)</f>
        <v>0</v>
      </c>
      <c r="O41" s="39">
        <f t="shared" si="7"/>
        <v>138.9041095890411</v>
      </c>
    </row>
    <row r="42" spans="4:15">
      <c r="D42" s="25">
        <v>12</v>
      </c>
      <c r="E42" s="179">
        <f t="shared" si="0"/>
        <v>46357</v>
      </c>
      <c r="F42" s="179">
        <f t="shared" si="1"/>
        <v>46387</v>
      </c>
      <c r="G42" s="37">
        <f t="shared" si="6"/>
        <v>31</v>
      </c>
      <c r="H42" s="66">
        <f t="shared" si="2"/>
        <v>0</v>
      </c>
      <c r="I42" s="66">
        <f t="shared" si="3"/>
        <v>31</v>
      </c>
      <c r="J42" s="33">
        <f t="shared" si="8"/>
        <v>0.7</v>
      </c>
      <c r="K42" s="33">
        <f t="shared" si="8"/>
        <v>0.7</v>
      </c>
      <c r="L42" s="34">
        <f t="shared" si="4"/>
        <v>143.53424657534245</v>
      </c>
      <c r="M42" s="35">
        <f t="shared" si="5"/>
        <v>0.7</v>
      </c>
      <c r="N42" s="25">
        <f>IF(L42=0,0,+'2FR'!$G$14)</f>
        <v>0</v>
      </c>
      <c r="O42" s="39">
        <f t="shared" si="7"/>
        <v>143.53424657534245</v>
      </c>
    </row>
    <row r="43" spans="4:15">
      <c r="G43" s="37">
        <f>SUM(G31:G42)</f>
        <v>365</v>
      </c>
      <c r="H43" s="37">
        <f>SUM(H31:H42)</f>
        <v>0</v>
      </c>
      <c r="I43" s="37">
        <f>SUM(I31:I42)</f>
        <v>365</v>
      </c>
      <c r="L43" s="39">
        <f>SUM(L31:L42)</f>
        <v>1690</v>
      </c>
      <c r="M43" s="39"/>
      <c r="N43" s="39">
        <f>SUM(N31:N42)</f>
        <v>0</v>
      </c>
      <c r="O43" s="39">
        <f>SUM(O31:O42)</f>
        <v>1690</v>
      </c>
    </row>
    <row r="44" spans="4:15">
      <c r="L44" s="39">
        <f>+L43-O43</f>
        <v>0</v>
      </c>
    </row>
  </sheetData>
  <sheetProtection algorithmName="SHA-512" hashValue="+16ZoQiXrkdqy55+KOmHsNfkFwGQ51Ot3SnMCWwhLGZ6JYPgn/2qyIBeFHYx1tP5FP5vLhJ3zNa+sdTIlpoJ+A==" saltValue="VtWElUkThy4sZZHppaYyVQ==" spinCount="100000" sheet="1" objects="1" scenarios="1"/>
  <mergeCells count="2">
    <mergeCell ref="J22:K22"/>
    <mergeCell ref="L22:M22"/>
  </mergeCells>
  <pageMargins left="0.7" right="0.7" top="0.75" bottom="0.75" header="0.3" footer="0.3"/>
  <pageSetup paperSize="9" orientation="portrait" horizontalDpi="300" verticalDpi="300" r:id="rId1"/>
  <headerFooter>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2E7B-E002-4533-B00E-8F39F8851FB0}">
  <sheetPr codeName="Sheet5">
    <tabColor theme="6" tint="0.79998168889431442"/>
    <pageSetUpPr autoPageBreaks="0" fitToPage="1"/>
  </sheetPr>
  <dimension ref="B2:F28"/>
  <sheetViews>
    <sheetView showGridLines="0" showRowColHeaders="0" workbookViewId="0"/>
  </sheetViews>
  <sheetFormatPr defaultColWidth="5.75" defaultRowHeight="20.100000000000001" customHeight="1"/>
  <cols>
    <col min="1" max="1" width="5.75" style="120" customWidth="1"/>
    <col min="2" max="2" width="22.875" style="120" customWidth="1"/>
    <col min="3" max="3" width="18.625" style="120" customWidth="1"/>
    <col min="4" max="4" width="22.875" style="120" customWidth="1"/>
    <col min="5" max="5" width="18.625" style="120" customWidth="1"/>
    <col min="6" max="6" width="25.75" style="120" customWidth="1"/>
    <col min="7" max="9" width="5.75" style="120" customWidth="1"/>
    <col min="10" max="10" width="8.375" style="120" customWidth="1"/>
    <col min="11" max="16384" width="5.75" style="120"/>
  </cols>
  <sheetData>
    <row r="2" spans="2:6" ht="138.75" customHeight="1">
      <c r="B2" s="260">
        <f>DTM</f>
        <v>46030</v>
      </c>
      <c r="C2" s="260"/>
      <c r="D2" s="260"/>
      <c r="E2" s="260"/>
      <c r="F2" s="260"/>
    </row>
    <row r="3" spans="2:6" ht="20.100000000000001" customHeight="1">
      <c r="B3" s="119"/>
      <c r="C3" s="119"/>
      <c r="D3" s="119"/>
      <c r="E3" s="119"/>
      <c r="F3" s="119"/>
    </row>
    <row r="4" spans="2:6" ht="30" customHeight="1">
      <c r="B4" s="261" t="s">
        <v>274</v>
      </c>
      <c r="C4" s="234"/>
      <c r="D4" s="234"/>
      <c r="E4" s="234"/>
      <c r="F4" s="234"/>
    </row>
    <row r="17" spans="2:6" ht="20.100000000000001" customHeight="1">
      <c r="B17" s="136" t="s">
        <v>35</v>
      </c>
      <c r="C17" s="137"/>
      <c r="E17" s="118"/>
      <c r="F17" s="118"/>
    </row>
    <row r="18" spans="2:6" ht="20.100000000000001" customHeight="1">
      <c r="B18" s="138" t="s">
        <v>37</v>
      </c>
      <c r="C18" s="139"/>
      <c r="D18" s="134"/>
      <c r="E18" s="118"/>
      <c r="F18" s="118"/>
    </row>
    <row r="19" spans="2:6" ht="20.100000000000001" customHeight="1">
      <c r="B19" s="128"/>
      <c r="C19" s="128"/>
      <c r="D19" s="128"/>
      <c r="E19" s="118"/>
      <c r="F19" s="118"/>
    </row>
    <row r="20" spans="2:6" ht="20.100000000000001" customHeight="1" thickBot="1">
      <c r="C20" s="119"/>
      <c r="D20" s="119"/>
      <c r="E20" s="119"/>
      <c r="F20" s="119"/>
    </row>
    <row r="21" spans="2:6" ht="20.100000000000001" customHeight="1" thickTop="1" thickBot="1">
      <c r="B21" s="197" t="s">
        <v>255</v>
      </c>
      <c r="C21" s="198"/>
      <c r="D21" s="199"/>
      <c r="E21" s="198"/>
      <c r="F21" s="200" t="s">
        <v>256</v>
      </c>
    </row>
    <row r="22" spans="2:6" ht="12" thickTop="1">
      <c r="B22" s="201"/>
      <c r="C22" s="133"/>
      <c r="D22" s="133"/>
      <c r="E22" s="133"/>
      <c r="F22" s="202"/>
    </row>
    <row r="23" spans="2:6" ht="11.4">
      <c r="B23" s="201" t="s">
        <v>115</v>
      </c>
      <c r="C23" s="132"/>
      <c r="D23" s="132"/>
      <c r="E23" s="132"/>
      <c r="F23" s="203"/>
    </row>
    <row r="24" spans="2:6" ht="11.4">
      <c r="B24" s="201" t="s">
        <v>116</v>
      </c>
      <c r="C24" s="133"/>
      <c r="D24" s="133"/>
      <c r="E24" s="133"/>
      <c r="F24" s="204"/>
    </row>
    <row r="25" spans="2:6" ht="11.4">
      <c r="B25" s="205"/>
      <c r="C25" s="130"/>
      <c r="D25" s="130"/>
      <c r="E25" s="130"/>
      <c r="F25" s="206"/>
    </row>
    <row r="26" spans="2:6" ht="20.100000000000001" customHeight="1">
      <c r="B26" s="235" t="s">
        <v>286</v>
      </c>
      <c r="C26" s="236"/>
      <c r="D26" s="236"/>
      <c r="E26" s="236"/>
      <c r="F26" s="207" t="s">
        <v>258</v>
      </c>
    </row>
    <row r="27" spans="2:6" ht="20.100000000000001" customHeight="1" thickBot="1">
      <c r="B27" s="237"/>
      <c r="C27" s="238"/>
      <c r="D27" s="238"/>
      <c r="E27" s="238"/>
      <c r="F27" s="208" t="s">
        <v>259</v>
      </c>
    </row>
    <row r="28" spans="2:6" ht="20.100000000000001" customHeight="1" thickTop="1"/>
  </sheetData>
  <sheetProtection algorithmName="SHA-512" hashValue="MjhNK7oe4+oKp+oXC19QP1Etc+l5PKu6XlOsbZnlfoIXV3cI4rL5BlZcgk72ARtg+M7RTxXidjAzSkyktPvgMg==" saltValue="93bW8OpxDQGzd220shtbqw==" spinCount="100000" sheet="1" objects="1" scenarios="1"/>
  <mergeCells count="3">
    <mergeCell ref="B2:F2"/>
    <mergeCell ref="B4:F4"/>
    <mergeCell ref="B26:E27"/>
  </mergeCells>
  <hyperlinks>
    <hyperlink ref="B18" location="'1B'!A1" tooltip="Reken zelf!" display="} Klik hier" xr:uid="{F6E25356-F1A6-4818-B692-A99684EA9969}"/>
    <hyperlink ref="F21" r:id="rId1" tooltip="Stel uw vraag aan de redactie" xr:uid="{01D34091-4212-4BF0-A635-D86E5E4F28A3}"/>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0ff89979f444a48c7b52c00c6af40b5f">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3a2158c1aa38fe774cc83b865ad8ab1a"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ECD9E1-294B-45D3-8575-13DF4F28023D}">
  <ds:schemaRefs>
    <ds:schemaRef ds:uri="http://schemas.microsoft.com/sharepoint/v3/contenttype/forms"/>
  </ds:schemaRefs>
</ds:datastoreItem>
</file>

<file path=customXml/itemProps2.xml><?xml version="1.0" encoding="utf-8"?>
<ds:datastoreItem xmlns:ds="http://schemas.openxmlformats.org/officeDocument/2006/customXml" ds:itemID="{60D6595D-75EE-4F86-9997-5CFDD391F581}">
  <ds:schemaRefs>
    <ds:schemaRef ds:uri="http://purl.org/dc/elements/1.1/"/>
    <ds:schemaRef ds:uri="http://schemas.microsoft.com/office/2006/metadata/propertie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00762EEE-F3C1-41D7-9D60-432226947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Home</vt:lpstr>
      <vt:lpstr>1</vt:lpstr>
      <vt:lpstr>2</vt:lpstr>
      <vt:lpstr>Home FR</vt:lpstr>
      <vt:lpstr>1FR</vt:lpstr>
      <vt:lpstr>2FR</vt:lpstr>
      <vt:lpstr>Home B</vt:lpstr>
      <vt:lpstr>1B</vt:lpstr>
      <vt:lpstr>Home FR B</vt:lpstr>
      <vt:lpstr>1FRB</vt:lpstr>
      <vt:lpstr>EDISEC</vt:lpstr>
      <vt:lpstr>DTM</vt:lpstr>
      <vt:lpstr>OODFR</vt:lpstr>
      <vt:lpstr>OODNL</vt:lpstr>
      <vt:lpstr>'1'!Print_Area</vt:lpstr>
      <vt:lpstr>'1B'!Print_Area</vt:lpstr>
      <vt:lpstr>'1FR'!Print_Area</vt:lpstr>
      <vt:lpstr>'1FRB'!Print_Area</vt:lpstr>
      <vt:lpstr>'2'!Print_Area</vt:lpstr>
      <vt:lpstr>'2FR'!Print_Area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472928-472927--</cp:keywords>
  <cp:lastModifiedBy>Florence GOFFINET</cp:lastModifiedBy>
  <cp:lastPrinted>2020-08-17T15:07:32Z</cp:lastPrinted>
  <dcterms:created xsi:type="dcterms:W3CDTF">2011-03-21T06:44:21Z</dcterms:created>
  <dcterms:modified xsi:type="dcterms:W3CDTF">2026-04-24T12:26:49Z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Date completed" linkTarget="DTM">
    <vt:filetime>2026-01-07T23:00:00Z</vt:filetime>
  </property>
  <property fmtid="{D5CDD505-2E9C-101B-9397-08002B2CF9AE}" pid="4" name="MediaServiceImageTags">
    <vt:lpwstr/>
  </property>
</Properties>
</file>